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ice.Zolnekoff\Google Drive\PTA\33rd District\"/>
    </mc:Choice>
  </mc:AlternateContent>
  <bookViews>
    <workbookView xWindow="0" yWindow="0" windowWidth="17292" windowHeight="71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72" i="1" l="1"/>
  <c r="H171" i="1"/>
  <c r="H153" i="1"/>
  <c r="H151" i="1"/>
  <c r="H149" i="1"/>
  <c r="H148" i="1"/>
  <c r="H147" i="1"/>
  <c r="H145" i="1"/>
  <c r="H143" i="1"/>
  <c r="H142" i="1"/>
  <c r="H125" i="1"/>
  <c r="H124" i="1"/>
  <c r="H110" i="1"/>
  <c r="H100" i="1"/>
  <c r="H98" i="1"/>
  <c r="H97" i="1"/>
  <c r="H96" i="1"/>
  <c r="H90" i="1"/>
  <c r="H89" i="1"/>
  <c r="H88" i="1"/>
  <c r="H87" i="1"/>
  <c r="H86" i="1"/>
  <c r="H85" i="1"/>
  <c r="H83" i="1"/>
  <c r="H82" i="1"/>
  <c r="H81" i="1"/>
  <c r="H79" i="1"/>
  <c r="H78" i="1"/>
  <c r="H77" i="1"/>
  <c r="H73" i="1"/>
  <c r="H74" i="1" s="1"/>
  <c r="H68" i="1"/>
  <c r="H70" i="1" s="1"/>
  <c r="H57" i="1"/>
  <c r="H56" i="1"/>
  <c r="H55" i="1"/>
  <c r="H53" i="1"/>
  <c r="H51" i="1"/>
  <c r="H50" i="1"/>
  <c r="H49" i="1"/>
  <c r="H48" i="1"/>
  <c r="H40" i="1"/>
  <c r="H39" i="1"/>
  <c r="H38" i="1"/>
  <c r="H36" i="1"/>
  <c r="H30" i="1"/>
  <c r="H29" i="1"/>
  <c r="H28" i="1"/>
  <c r="H22" i="1"/>
  <c r="H21" i="1"/>
  <c r="I59" i="1"/>
  <c r="I62" i="1" s="1"/>
  <c r="I70" i="1"/>
  <c r="I74" i="1"/>
  <c r="I91" i="1"/>
  <c r="I101" i="1"/>
  <c r="I128" i="1"/>
  <c r="I138" i="1"/>
  <c r="I154" i="1"/>
  <c r="I173" i="1"/>
  <c r="I175" i="1" s="1"/>
  <c r="I177" i="1" l="1"/>
  <c r="H137" i="1" l="1"/>
  <c r="H119" i="1"/>
  <c r="H114" i="1"/>
  <c r="H109" i="1"/>
  <c r="H163" i="1" l="1"/>
  <c r="H136" i="1"/>
  <c r="H134" i="1"/>
  <c r="H131" i="1"/>
  <c r="H43" i="1"/>
  <c r="H34" i="1"/>
  <c r="H138" i="1" l="1"/>
  <c r="H158" i="1"/>
  <c r="H173" i="1" s="1"/>
  <c r="H128" i="1"/>
  <c r="H101" i="1"/>
  <c r="H91" i="1"/>
  <c r="H44" i="1"/>
  <c r="H42" i="1"/>
  <c r="H33" i="1"/>
  <c r="H175" i="1" l="1"/>
  <c r="H63" i="1"/>
  <c r="H62" i="1"/>
  <c r="H154" i="1"/>
  <c r="H177" i="1" l="1"/>
  <c r="B15" i="2"/>
  <c r="B13" i="2"/>
  <c r="B17" i="2" l="1"/>
  <c r="B19" i="2" s="1"/>
  <c r="B24" i="2" s="1"/>
  <c r="F2" i="2"/>
</calcChain>
</file>

<file path=xl/sharedStrings.xml><?xml version="1.0" encoding="utf-8"?>
<sst xmlns="http://schemas.openxmlformats.org/spreadsheetml/2006/main" count="256" uniqueCount="185">
  <si>
    <t>THIRTY-THIRD DISTRICT PTA</t>
  </si>
  <si>
    <t xml:space="preserve"> </t>
  </si>
  <si>
    <t>Encumbered Cash - Youth Camps</t>
  </si>
  <si>
    <t xml:space="preserve">  </t>
  </si>
  <si>
    <t>Certificate of Deposit</t>
  </si>
  <si>
    <t>Less Funds Held in Trust - Magee</t>
  </si>
  <si>
    <t>Less Funds Held in Trust - Lindsey Magnet, Long Beach</t>
  </si>
  <si>
    <t>Less Funds held in Trust - Mayo</t>
  </si>
  <si>
    <t>Less Funds held in Trust - Phelan, Whittier-Pico Rivera</t>
  </si>
  <si>
    <t>Less Funds held in Trust - Washington PTA, Hawthorne</t>
  </si>
  <si>
    <t>Less Funds held in Trust - Helen Keller, Long Beach</t>
  </si>
  <si>
    <t>Inventory - Ways &amp; Means</t>
  </si>
  <si>
    <t>Income</t>
  </si>
  <si>
    <t>Comments for 2015-16</t>
  </si>
  <si>
    <t>Comments:</t>
  </si>
  <si>
    <t>112,000 members</t>
  </si>
  <si>
    <t>109,299 members</t>
  </si>
  <si>
    <t>3,000 OOC members</t>
  </si>
  <si>
    <t>3,056 members</t>
  </si>
  <si>
    <t>Extension/Leadership Fund</t>
  </si>
  <si>
    <t>Extension - Founders Day</t>
  </si>
  <si>
    <t>Leadership Grant</t>
  </si>
  <si>
    <t>Gloria Blackwell Memorial Scholarship- Leadership</t>
  </si>
  <si>
    <t>Sophia Waugh Scholarship-Youth Camps</t>
  </si>
  <si>
    <t>Convention Dinner (150 @ $50)</t>
  </si>
  <si>
    <t>200 @ $50</t>
  </si>
  <si>
    <t xml:space="preserve">6020/6021 </t>
  </si>
  <si>
    <t>Interest Income</t>
  </si>
  <si>
    <t>Ways &amp; Means</t>
  </si>
  <si>
    <t>Conferences and Workshops</t>
  </si>
  <si>
    <t>Legislation Conference</t>
  </si>
  <si>
    <t>Bylaws/Parliamentarians Workshop</t>
  </si>
  <si>
    <t>Diversity &amp; Inclusion Conference</t>
  </si>
  <si>
    <t>Annual Meeting</t>
  </si>
  <si>
    <t>Not an election year</t>
  </si>
  <si>
    <t>election year</t>
  </si>
  <si>
    <t>3015/3035</t>
  </si>
  <si>
    <t>Council Development Workshops</t>
  </si>
  <si>
    <t>Teen Scene</t>
  </si>
  <si>
    <t>Financial Workshop</t>
  </si>
  <si>
    <t>Calendars</t>
  </si>
  <si>
    <t>Membership Envelopes</t>
  </si>
  <si>
    <t>Sacramento Safari</t>
  </si>
  <si>
    <t>PTA Supplies/Copies For Resale</t>
  </si>
  <si>
    <t>Outside Meetings</t>
  </si>
  <si>
    <t>Youth Camps</t>
  </si>
  <si>
    <t>Miscellaneous - Miscellaneous Contributions/Gifts</t>
  </si>
  <si>
    <t>Miscellaneous - Over/Under Payments</t>
  </si>
  <si>
    <t>Total Income</t>
  </si>
  <si>
    <t>Expenses</t>
  </si>
  <si>
    <t>President's Reimbursable Expenses</t>
  </si>
  <si>
    <t>Monthly</t>
  </si>
  <si>
    <t xml:space="preserve">4010/11 </t>
  </si>
  <si>
    <t xml:space="preserve">National Convention - </t>
  </si>
  <si>
    <t>Orlando, FL</t>
  </si>
  <si>
    <t xml:space="preserve">4020/21 </t>
  </si>
  <si>
    <t>Other Convention</t>
  </si>
  <si>
    <t>Subtotal</t>
  </si>
  <si>
    <t>First VP Reimbursable Expenses</t>
  </si>
  <si>
    <t xml:space="preserve">4110/11 </t>
  </si>
  <si>
    <t>National Convention</t>
  </si>
  <si>
    <t>Office Expenses</t>
  </si>
  <si>
    <t>Officer Directors Salary</t>
  </si>
  <si>
    <t>Employee Taxes</t>
  </si>
  <si>
    <t>Employer Taxes</t>
  </si>
  <si>
    <t>Miscellaneous Office Director Expenses</t>
  </si>
  <si>
    <t>Postage/PO Box</t>
  </si>
  <si>
    <t>Telephone/DSL</t>
  </si>
  <si>
    <t>Office Supplies</t>
  </si>
  <si>
    <t>Didn’t buy toner last year</t>
  </si>
  <si>
    <t>Cleaning</t>
  </si>
  <si>
    <t>Bottled Water</t>
  </si>
  <si>
    <t>Equipment/Supplies/Insurance</t>
  </si>
  <si>
    <t>Equipment Maintenance</t>
  </si>
  <si>
    <t>Copy Machine</t>
  </si>
  <si>
    <t>Office Rent</t>
  </si>
  <si>
    <t>Just in case...</t>
  </si>
  <si>
    <t>Organization - Department Expenses</t>
  </si>
  <si>
    <t>Keynote Speakers</t>
  </si>
  <si>
    <t>Actual includes 14-15 &amp; 15-16</t>
  </si>
  <si>
    <t>Executive Board Rent</t>
  </si>
  <si>
    <t>Missing bill from 14-15?</t>
  </si>
  <si>
    <t>Liability Insurance/Workers Comp</t>
  </si>
  <si>
    <t>Website</t>
  </si>
  <si>
    <t>Miscellaneous Organizational Expense</t>
  </si>
  <si>
    <t>Department Expenses</t>
  </si>
  <si>
    <t>Program Services</t>
  </si>
  <si>
    <t>HSA</t>
  </si>
  <si>
    <t>Founders Day</t>
  </si>
  <si>
    <t>Leadership Services</t>
  </si>
  <si>
    <t>Mentor Expenses</t>
  </si>
  <si>
    <t>Membership</t>
  </si>
  <si>
    <t>Community Concerns</t>
  </si>
  <si>
    <t>Safety Awards/Special Projects</t>
  </si>
  <si>
    <t>Education Services</t>
  </si>
  <si>
    <t>Reflections</t>
  </si>
  <si>
    <t>Health Services</t>
  </si>
  <si>
    <t>Red Ribbon</t>
  </si>
  <si>
    <t>Communication Services</t>
  </si>
  <si>
    <t>Support Services</t>
  </si>
  <si>
    <t>BOD/Executive Board Meetings</t>
  </si>
  <si>
    <t>Legislation Services</t>
  </si>
  <si>
    <t>Finance</t>
  </si>
  <si>
    <t>Parliamentarian</t>
  </si>
  <si>
    <t>5913/5914</t>
  </si>
  <si>
    <t>Other Officers &amp; Chairmen/Mileage</t>
  </si>
  <si>
    <t>Directory Expense</t>
  </si>
  <si>
    <t>Publications</t>
  </si>
  <si>
    <t>Committee Expense</t>
  </si>
  <si>
    <t>San Diego</t>
  </si>
  <si>
    <t>registrations</t>
  </si>
  <si>
    <t>Committee Housing</t>
  </si>
  <si>
    <t>Transportation/Parking</t>
  </si>
  <si>
    <t>Courtesy/Miscellaneous Expenses</t>
  </si>
  <si>
    <t>Orientation/Delegate Exp/Hospitality (Dist Fee)</t>
  </si>
  <si>
    <t>District Dinner</t>
  </si>
  <si>
    <t>Conferences &amp; Workshops</t>
  </si>
  <si>
    <t>Venue overcharge reimbursement</t>
  </si>
  <si>
    <t>Hospitality</t>
  </si>
  <si>
    <t>Based on income</t>
  </si>
  <si>
    <t>Other Expenses</t>
  </si>
  <si>
    <t>Leadership</t>
  </si>
  <si>
    <t xml:space="preserve">      Orientation</t>
  </si>
  <si>
    <t xml:space="preserve">      District BOD Retreat</t>
  </si>
  <si>
    <t xml:space="preserve">      PTA University/State Workshops</t>
  </si>
  <si>
    <t xml:space="preserve">5916/5955 </t>
  </si>
  <si>
    <t>Special Projects/Outside Printing</t>
  </si>
  <si>
    <t>State Legislation Conference</t>
  </si>
  <si>
    <t>Binding of Minutes</t>
  </si>
  <si>
    <t xml:space="preserve">      Extension - Founders Day</t>
  </si>
  <si>
    <t xml:space="preserve">      Convention Scholarship</t>
  </si>
  <si>
    <t xml:space="preserve">      Gloria Blackwell Memorial Scholarship-Leadership</t>
  </si>
  <si>
    <t xml:space="preserve">6001/6206 /6900 </t>
  </si>
  <si>
    <t>Miscellaneous</t>
  </si>
  <si>
    <t>Total Expenses</t>
  </si>
  <si>
    <t xml:space="preserve">Less Funds held in Trust - La Merced, </t>
  </si>
  <si>
    <t>Convention District Fee (150 @ $15) 2016</t>
  </si>
  <si>
    <t>Special Projects- 33rd district t shirts</t>
  </si>
  <si>
    <t>Committee Convention Registration</t>
  </si>
  <si>
    <t>Less Funds held in Trust - Mokler-Par</t>
  </si>
  <si>
    <t xml:space="preserve">Membership (114,000 @ $0.50) </t>
  </si>
  <si>
    <t>OOC Membership (2,400 @ $0.25)</t>
  </si>
  <si>
    <t xml:space="preserve">General Fund @ June 30, 2016 </t>
  </si>
  <si>
    <t>Spring Awards and Association Meeting</t>
  </si>
  <si>
    <t xml:space="preserve">Spring Officers Training </t>
  </si>
  <si>
    <t>Fall Officers Training/Association Mtg</t>
  </si>
  <si>
    <t>Executive Board Orientation</t>
  </si>
  <si>
    <t>State PTA Convention - San Jose</t>
  </si>
  <si>
    <t>Presidents &amp; Administrators Conference</t>
  </si>
  <si>
    <t>Spring Officers Training</t>
  </si>
  <si>
    <t>Fall Officer Training and Association Mtg</t>
  </si>
  <si>
    <t>Presidents &amp; Administrators Conf.</t>
  </si>
  <si>
    <t>2017-2018</t>
  </si>
  <si>
    <t>Banking</t>
  </si>
  <si>
    <t>Checking balance 3/31</t>
  </si>
  <si>
    <t>CD</t>
  </si>
  <si>
    <t>Youth Camp</t>
  </si>
  <si>
    <t>Sub total non general fund items</t>
  </si>
  <si>
    <t>Monthly projected office April, May, June $2500</t>
  </si>
  <si>
    <t>Payroll tax</t>
  </si>
  <si>
    <t xml:space="preserve">Convention  </t>
  </si>
  <si>
    <t>End of year cash</t>
  </si>
  <si>
    <t>Less Funds Held in Trust-Hillview</t>
  </si>
  <si>
    <t>Less Funds Held in Trust-Huerta</t>
  </si>
  <si>
    <t>Calendar</t>
  </si>
  <si>
    <t>Cash on Hand less designated funds April 1</t>
  </si>
  <si>
    <t>Bylaws fee</t>
  </si>
  <si>
    <t>Bylaws fee expense</t>
  </si>
  <si>
    <t>Unallocated Reserve</t>
  </si>
  <si>
    <t>Actual</t>
  </si>
  <si>
    <t>6/19/2017 BOD</t>
  </si>
  <si>
    <t>Approved by</t>
  </si>
  <si>
    <t>Less Funds Held in Trust - La Merced-Montebello</t>
  </si>
  <si>
    <t>Less Funds Held in Trust - Mokler -Paramount</t>
  </si>
  <si>
    <t>Less Funds Held in Trust - Huerta OOC</t>
  </si>
  <si>
    <t xml:space="preserve">General Fund @ June 30, 2017 </t>
  </si>
  <si>
    <t>2016-17 Actuals</t>
  </si>
  <si>
    <t>2017-2018  Budget</t>
  </si>
  <si>
    <t>2017-2018 Budget</t>
  </si>
  <si>
    <t>2016-17    Actuals</t>
  </si>
  <si>
    <t>Budget WORKSHEET</t>
  </si>
  <si>
    <t>Budget</t>
  </si>
  <si>
    <t>Miscellaneous- UnBudgeted</t>
  </si>
  <si>
    <t>6/26/2017 EB</t>
  </si>
  <si>
    <t xml:space="preserve">Net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</si>
</sst>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_-&quot;$&quot;* \(#,##0.00\)_-;_-&quot;$&quot;* &quot;-&quot;??;_-@_-"/>
    <numFmt numFmtId="165" formatCode="\ * #,##0\ ;\ * \(#,##0\);\ * &quot;-&quot;??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Lucida Grande"/>
    </font>
    <font>
      <b/>
      <sz val="11"/>
      <name val="Lucida Grande"/>
    </font>
    <font>
      <sz val="11"/>
      <name val="Calibri"/>
      <family val="2"/>
      <scheme val="minor"/>
    </font>
    <font>
      <b/>
      <sz val="9"/>
      <name val="Lucida Grande"/>
    </font>
    <font>
      <sz val="9"/>
      <name val="Calibri"/>
      <family val="2"/>
      <scheme val="minor"/>
    </font>
    <font>
      <sz val="10"/>
      <name val="Lucida Grande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Lucinda grande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64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 style="thin">
        <color indexed="1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4" fillId="0" borderId="0" xfId="0" applyFont="1" applyFill="1"/>
    <xf numFmtId="164" fontId="2" fillId="0" borderId="3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4" xfId="0" applyNumberFormat="1" applyFont="1" applyFill="1" applyBorder="1" applyAlignment="1"/>
    <xf numFmtId="44" fontId="2" fillId="0" borderId="5" xfId="1" applyFont="1" applyFill="1" applyBorder="1" applyAlignment="1"/>
    <xf numFmtId="39" fontId="2" fillId="0" borderId="3" xfId="0" applyNumberFormat="1" applyFont="1" applyFill="1" applyBorder="1" applyAlignment="1"/>
    <xf numFmtId="0" fontId="5" fillId="0" borderId="1" xfId="0" applyNumberFormat="1" applyFont="1" applyFill="1" applyBorder="1" applyAlignment="1"/>
    <xf numFmtId="0" fontId="5" fillId="0" borderId="2" xfId="0" applyNumberFormat="1" applyFont="1" applyFill="1" applyBorder="1" applyAlignment="1"/>
    <xf numFmtId="44" fontId="5" fillId="0" borderId="5" xfId="1" applyFont="1" applyFill="1" applyBorder="1" applyAlignment="1"/>
    <xf numFmtId="0" fontId="6" fillId="0" borderId="0" xfId="0" applyFont="1" applyFill="1"/>
    <xf numFmtId="0" fontId="5" fillId="0" borderId="0" xfId="0" applyNumberFormat="1" applyFont="1" applyFill="1" applyAlignment="1">
      <alignment horizontal="center" wrapText="1"/>
    </xf>
    <xf numFmtId="39" fontId="4" fillId="0" borderId="0" xfId="0" applyNumberFormat="1" applyFont="1" applyFill="1"/>
    <xf numFmtId="44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/>
    <xf numFmtId="4" fontId="0" fillId="0" borderId="0" xfId="0" applyNumberFormat="1"/>
    <xf numFmtId="14" fontId="0" fillId="0" borderId="0" xfId="0" applyNumberFormat="1"/>
    <xf numFmtId="0" fontId="2" fillId="0" borderId="0" xfId="0" applyNumberFormat="1" applyFont="1" applyFill="1" applyBorder="1" applyAlignment="1"/>
    <xf numFmtId="39" fontId="0" fillId="0" borderId="0" xfId="0" applyNumberFormat="1"/>
    <xf numFmtId="3" fontId="0" fillId="0" borderId="0" xfId="0" applyNumberFormat="1"/>
    <xf numFmtId="39" fontId="2" fillId="0" borderId="7" xfId="0" applyNumberFormat="1" applyFont="1" applyFill="1" applyBorder="1" applyAlignment="1"/>
    <xf numFmtId="44" fontId="4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44" fontId="4" fillId="0" borderId="5" xfId="0" applyNumberFormat="1" applyFont="1" applyFill="1" applyBorder="1"/>
    <xf numFmtId="44" fontId="5" fillId="0" borderId="8" xfId="1" applyNumberFormat="1" applyFont="1" applyFill="1" applyBorder="1" applyAlignment="1"/>
    <xf numFmtId="44" fontId="4" fillId="0" borderId="0" xfId="0" applyNumberFormat="1" applyFont="1" applyFill="1" applyBorder="1"/>
    <xf numFmtId="44" fontId="2" fillId="0" borderId="8" xfId="1" applyNumberFormat="1" applyFont="1" applyFill="1" applyBorder="1" applyAlignment="1"/>
    <xf numFmtId="44" fontId="5" fillId="0" borderId="5" xfId="1" applyNumberFormat="1" applyFont="1" applyFill="1" applyBorder="1" applyAlignment="1"/>
    <xf numFmtId="0" fontId="4" fillId="0" borderId="5" xfId="0" applyFont="1" applyFill="1" applyBorder="1"/>
    <xf numFmtId="0" fontId="2" fillId="0" borderId="9" xfId="0" applyNumberFormat="1" applyFont="1" applyFill="1" applyBorder="1" applyAlignment="1"/>
    <xf numFmtId="0" fontId="2" fillId="0" borderId="11" xfId="0" applyNumberFormat="1" applyFont="1" applyFill="1" applyBorder="1" applyAlignment="1"/>
    <xf numFmtId="0" fontId="2" fillId="0" borderId="5" xfId="0" applyFont="1" applyFill="1" applyBorder="1"/>
    <xf numFmtId="0" fontId="2" fillId="0" borderId="6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5" fillId="0" borderId="5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2" fillId="0" borderId="13" xfId="0" applyNumberFormat="1" applyFont="1" applyFill="1" applyBorder="1" applyAlignment="1"/>
    <xf numFmtId="0" fontId="5" fillId="0" borderId="9" xfId="0" applyNumberFormat="1" applyFont="1" applyFill="1" applyBorder="1" applyAlignment="1"/>
    <xf numFmtId="0" fontId="5" fillId="0" borderId="10" xfId="0" applyNumberFormat="1" applyFont="1" applyFill="1" applyBorder="1" applyAlignment="1"/>
    <xf numFmtId="164" fontId="2" fillId="0" borderId="5" xfId="0" applyNumberFormat="1" applyFont="1" applyFill="1" applyBorder="1" applyAlignment="1"/>
    <xf numFmtId="165" fontId="2" fillId="0" borderId="5" xfId="0" applyNumberFormat="1" applyFont="1" applyFill="1" applyBorder="1" applyAlignment="1"/>
    <xf numFmtId="39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/>
    <xf numFmtId="0" fontId="2" fillId="0" borderId="10" xfId="0" applyNumberFormat="1" applyFont="1" applyFill="1" applyBorder="1" applyAlignment="1"/>
    <xf numFmtId="0" fontId="5" fillId="0" borderId="5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/>
    <xf numFmtId="0" fontId="2" fillId="0" borderId="5" xfId="0" applyNumberFormat="1" applyFont="1" applyFill="1" applyBorder="1" applyAlignment="1">
      <alignment horizontal="left"/>
    </xf>
    <xf numFmtId="44" fontId="5" fillId="0" borderId="5" xfId="0" applyNumberFormat="1" applyFont="1" applyFill="1" applyBorder="1" applyAlignment="1"/>
    <xf numFmtId="0" fontId="2" fillId="0" borderId="14" xfId="0" applyNumberFormat="1" applyFont="1" applyFill="1" applyBorder="1" applyAlignment="1"/>
    <xf numFmtId="8" fontId="2" fillId="0" borderId="5" xfId="0" applyNumberFormat="1" applyFont="1" applyFill="1" applyBorder="1" applyAlignment="1"/>
    <xf numFmtId="0" fontId="2" fillId="0" borderId="15" xfId="0" applyNumberFormat="1" applyFont="1" applyFill="1" applyBorder="1" applyAlignment="1"/>
    <xf numFmtId="0" fontId="2" fillId="0" borderId="16" xfId="0" applyNumberFormat="1" applyFont="1" applyFill="1" applyBorder="1" applyAlignment="1"/>
    <xf numFmtId="0" fontId="5" fillId="0" borderId="16" xfId="0" applyNumberFormat="1" applyFont="1" applyFill="1" applyBorder="1" applyAlignment="1"/>
    <xf numFmtId="0" fontId="5" fillId="0" borderId="0" xfId="0" applyNumberFormat="1" applyFont="1" applyFill="1" applyBorder="1" applyAlignment="1"/>
    <xf numFmtId="0" fontId="2" fillId="0" borderId="17" xfId="0" applyNumberFormat="1" applyFont="1" applyFill="1" applyBorder="1" applyAlignment="1"/>
    <xf numFmtId="164" fontId="2" fillId="0" borderId="15" xfId="0" applyNumberFormat="1" applyFont="1" applyFill="1" applyBorder="1" applyAlignment="1"/>
    <xf numFmtId="44" fontId="4" fillId="0" borderId="5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0" xfId="0" applyFont="1" applyFill="1"/>
    <xf numFmtId="44" fontId="2" fillId="0" borderId="5" xfId="0" applyNumberFormat="1" applyFont="1" applyFill="1" applyBorder="1"/>
    <xf numFmtId="0" fontId="4" fillId="0" borderId="0" xfId="0" applyFont="1" applyFill="1" applyAlignment="1">
      <alignment horizontal="center" wrapText="1"/>
    </xf>
    <xf numFmtId="44" fontId="5" fillId="0" borderId="18" xfId="0" applyNumberFormat="1" applyFont="1" applyFill="1" applyBorder="1" applyAlignment="1"/>
    <xf numFmtId="44" fontId="5" fillId="0" borderId="19" xfId="0" applyNumberFormat="1" applyFont="1" applyFill="1" applyBorder="1" applyAlignment="1"/>
    <xf numFmtId="164" fontId="5" fillId="0" borderId="3" xfId="0" applyNumberFormat="1" applyFont="1" applyFill="1" applyBorder="1" applyAlignment="1"/>
    <xf numFmtId="164" fontId="2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4" fontId="10" fillId="0" borderId="5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$15@27hrsX52%20weeks%20less%20State%20B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showWhiteSpace="0" zoomScaleNormal="100" workbookViewId="0">
      <selection activeCell="D179" sqref="D179"/>
    </sheetView>
  </sheetViews>
  <sheetFormatPr defaultColWidth="9.109375" defaultRowHeight="14.4"/>
  <cols>
    <col min="1" max="1" width="6.109375" style="3" customWidth="1"/>
    <col min="2" max="2" width="9.33203125" style="3" bestFit="1" customWidth="1"/>
    <col min="3" max="3" width="3.109375" style="3" customWidth="1"/>
    <col min="4" max="4" width="38.33203125" style="3" customWidth="1"/>
    <col min="5" max="5" width="0.44140625" style="3" hidden="1" customWidth="1"/>
    <col min="6" max="7" width="0" style="3" hidden="1" customWidth="1"/>
    <col min="8" max="8" width="14" style="12" customWidth="1"/>
    <col min="9" max="9" width="14" style="3" customWidth="1"/>
    <col min="10" max="10" width="1" style="3" customWidth="1"/>
    <col min="11" max="11" width="12.33203125" style="3" customWidth="1"/>
    <col min="12" max="16384" width="9.109375" style="3"/>
  </cols>
  <sheetData>
    <row r="1" spans="1:11">
      <c r="A1" s="71" t="s">
        <v>0</v>
      </c>
      <c r="B1" s="71"/>
      <c r="C1" s="71"/>
      <c r="D1" s="71"/>
      <c r="E1" s="71"/>
      <c r="F1" s="71"/>
      <c r="G1" s="71"/>
      <c r="H1" s="5"/>
    </row>
    <row r="2" spans="1:11">
      <c r="A2" s="71" t="s">
        <v>180</v>
      </c>
      <c r="B2" s="71"/>
      <c r="C2" s="71"/>
      <c r="D2" s="71"/>
      <c r="E2" s="71"/>
      <c r="F2" s="71"/>
      <c r="G2" s="71"/>
      <c r="H2" s="5"/>
    </row>
    <row r="3" spans="1:11">
      <c r="A3" s="71" t="s">
        <v>152</v>
      </c>
      <c r="B3" s="71"/>
      <c r="C3" s="71"/>
      <c r="D3" s="71"/>
      <c r="E3" s="71"/>
      <c r="F3" s="71"/>
      <c r="G3" s="71"/>
      <c r="H3" s="5"/>
    </row>
    <row r="4" spans="1:11">
      <c r="A4" s="16" t="s">
        <v>142</v>
      </c>
      <c r="B4" s="16"/>
      <c r="C4" s="16"/>
      <c r="D4" s="16"/>
      <c r="E4" s="16"/>
      <c r="F4" s="16"/>
      <c r="G4" s="16"/>
      <c r="H4" s="52">
        <v>118573.07</v>
      </c>
    </row>
    <row r="5" spans="1:11">
      <c r="A5" s="16" t="s">
        <v>175</v>
      </c>
      <c r="B5" s="53"/>
      <c r="C5" s="53"/>
      <c r="D5" s="53"/>
      <c r="E5" s="53"/>
      <c r="F5" s="53" t="s">
        <v>1</v>
      </c>
      <c r="G5" s="53"/>
      <c r="I5" s="70">
        <v>126897.07</v>
      </c>
      <c r="J5" s="72" t="s">
        <v>1</v>
      </c>
      <c r="K5" s="72"/>
    </row>
    <row r="6" spans="1:11">
      <c r="A6" s="16" t="s">
        <v>2</v>
      </c>
      <c r="B6" s="16"/>
      <c r="C6" s="16"/>
      <c r="D6" s="16"/>
      <c r="E6" s="16"/>
      <c r="F6" s="16" t="s">
        <v>3</v>
      </c>
      <c r="G6" s="16" t="s">
        <v>1</v>
      </c>
      <c r="H6" s="41">
        <v>-7991.61</v>
      </c>
      <c r="I6" s="58">
        <v>-7230.1</v>
      </c>
    </row>
    <row r="7" spans="1:11">
      <c r="A7" s="16" t="s">
        <v>4</v>
      </c>
      <c r="B7" s="16"/>
      <c r="C7" s="16"/>
      <c r="D7" s="16"/>
      <c r="E7" s="43">
        <v>41593.42</v>
      </c>
      <c r="F7" s="16"/>
      <c r="G7" s="16"/>
      <c r="H7" s="15">
        <v>41593.42</v>
      </c>
      <c r="I7" s="15">
        <v>41593.42</v>
      </c>
    </row>
    <row r="8" spans="1:11">
      <c r="A8" s="16"/>
      <c r="B8" s="16" t="s">
        <v>172</v>
      </c>
      <c r="C8" s="16"/>
      <c r="D8" s="16"/>
      <c r="E8" s="43">
        <v>-1603.8</v>
      </c>
      <c r="F8" s="16"/>
      <c r="G8" s="16"/>
      <c r="H8" s="15" t="s">
        <v>1</v>
      </c>
      <c r="I8" s="23">
        <v>-3649.66</v>
      </c>
    </row>
    <row r="9" spans="1:11">
      <c r="A9" s="16"/>
      <c r="B9" s="16" t="s">
        <v>173</v>
      </c>
      <c r="C9" s="16"/>
      <c r="D9" s="16"/>
      <c r="E9" s="43">
        <v>-79.98</v>
      </c>
      <c r="F9" s="16"/>
      <c r="G9" s="16"/>
      <c r="H9" s="15" t="s">
        <v>1</v>
      </c>
      <c r="I9" s="23">
        <v>-378</v>
      </c>
    </row>
    <row r="10" spans="1:11">
      <c r="A10" s="16"/>
      <c r="B10" s="16" t="s">
        <v>174</v>
      </c>
      <c r="C10" s="16"/>
      <c r="D10" s="16"/>
      <c r="E10" s="43"/>
      <c r="F10" s="16"/>
      <c r="G10" s="16"/>
      <c r="H10" s="15"/>
      <c r="I10" s="23">
        <v>-1522.55</v>
      </c>
    </row>
    <row r="11" spans="1:11">
      <c r="A11" s="16"/>
      <c r="B11" s="16"/>
      <c r="C11" s="16"/>
      <c r="D11" s="16"/>
      <c r="E11" s="43"/>
      <c r="F11" s="16"/>
      <c r="G11" s="16"/>
      <c r="H11" s="43"/>
    </row>
    <row r="12" spans="1:11">
      <c r="A12" s="16"/>
      <c r="B12" s="16"/>
      <c r="C12" s="16"/>
      <c r="D12" s="16"/>
      <c r="E12" s="43"/>
      <c r="F12" s="16"/>
      <c r="G12" s="16"/>
      <c r="H12" s="43"/>
    </row>
    <row r="13" spans="1:11">
      <c r="A13" s="16"/>
      <c r="B13" s="16"/>
      <c r="C13" s="16"/>
      <c r="D13" s="16"/>
      <c r="E13" s="43"/>
      <c r="F13" s="16"/>
      <c r="G13" s="16"/>
      <c r="H13" s="43"/>
    </row>
    <row r="14" spans="1:11">
      <c r="A14" s="16"/>
      <c r="B14" s="16"/>
      <c r="C14" s="16"/>
      <c r="D14" s="16"/>
      <c r="E14" s="43"/>
      <c r="F14" s="16"/>
      <c r="G14" s="16"/>
      <c r="H14" s="43"/>
    </row>
    <row r="15" spans="1:11">
      <c r="A15" s="16"/>
      <c r="B15" s="16"/>
      <c r="C15" s="16"/>
      <c r="D15" s="16"/>
      <c r="E15" s="43"/>
      <c r="F15" s="16"/>
      <c r="G15" s="16"/>
      <c r="H15" s="43"/>
      <c r="I15" s="14" t="s">
        <v>1</v>
      </c>
    </row>
    <row r="16" spans="1:11">
      <c r="A16" s="16" t="s">
        <v>11</v>
      </c>
      <c r="B16" s="16"/>
      <c r="C16" s="16"/>
      <c r="D16" s="16"/>
      <c r="E16" s="16"/>
      <c r="F16" s="16" t="s">
        <v>1</v>
      </c>
      <c r="G16" s="16"/>
      <c r="H16" s="41">
        <v>1000</v>
      </c>
      <c r="I16" s="41">
        <v>1000</v>
      </c>
    </row>
    <row r="17" spans="1:9">
      <c r="A17" s="16"/>
      <c r="B17" s="54"/>
      <c r="C17" s="16"/>
      <c r="D17" s="16"/>
      <c r="E17" s="16"/>
      <c r="F17" s="16"/>
      <c r="G17" s="16"/>
      <c r="H17" s="16"/>
    </row>
    <row r="18" spans="1:9">
      <c r="A18" s="16"/>
      <c r="B18" s="55" t="s">
        <v>1</v>
      </c>
      <c r="C18" s="16"/>
      <c r="D18" s="16"/>
      <c r="E18" s="16"/>
      <c r="F18" s="16"/>
      <c r="G18" s="16"/>
      <c r="H18" s="45" t="s">
        <v>1</v>
      </c>
    </row>
    <row r="19" spans="1:9">
      <c r="A19" s="16"/>
      <c r="B19" s="56"/>
      <c r="C19" s="16"/>
      <c r="D19" s="57"/>
      <c r="E19" s="35"/>
      <c r="F19" s="35"/>
      <c r="G19" s="51"/>
      <c r="H19" s="5"/>
    </row>
    <row r="20" spans="1:9" ht="28.8">
      <c r="A20" s="32"/>
      <c r="B20" s="37" t="s">
        <v>12</v>
      </c>
      <c r="C20" s="32"/>
      <c r="D20" s="32"/>
      <c r="E20" s="38"/>
      <c r="F20" s="39" t="s">
        <v>13</v>
      </c>
      <c r="G20" s="40" t="s">
        <v>14</v>
      </c>
      <c r="H20" s="24" t="s">
        <v>176</v>
      </c>
      <c r="I20" s="13" t="s">
        <v>177</v>
      </c>
    </row>
    <row r="21" spans="1:9">
      <c r="A21" s="16"/>
      <c r="B21" s="16">
        <v>2020</v>
      </c>
      <c r="C21" s="16" t="s">
        <v>140</v>
      </c>
      <c r="D21" s="16"/>
      <c r="E21" s="16"/>
      <c r="F21" s="16" t="s">
        <v>15</v>
      </c>
      <c r="G21" s="16" t="s">
        <v>16</v>
      </c>
      <c r="H21" s="25">
        <f>225+17742+17710.5+8489+3856+1370.5+1027+1917.5+253.5+556.5+161.5</f>
        <v>53309</v>
      </c>
      <c r="I21" s="41">
        <v>57000</v>
      </c>
    </row>
    <row r="22" spans="1:9">
      <c r="A22" s="16"/>
      <c r="B22" s="16">
        <v>2021</v>
      </c>
      <c r="C22" s="16"/>
      <c r="D22" s="16" t="s">
        <v>141</v>
      </c>
      <c r="E22" s="16"/>
      <c r="F22" s="42" t="s">
        <v>17</v>
      </c>
      <c r="G22" s="42" t="s">
        <v>18</v>
      </c>
      <c r="H22" s="25">
        <f>51.75+160.5+139.5+31+41.5+33.25+50.25</f>
        <v>507.75</v>
      </c>
      <c r="I22" s="41">
        <v>600</v>
      </c>
    </row>
    <row r="23" spans="1:9">
      <c r="A23" s="16"/>
      <c r="B23" s="16"/>
      <c r="C23" s="16" t="s">
        <v>19</v>
      </c>
      <c r="D23" s="16"/>
      <c r="E23" s="16"/>
      <c r="F23" s="16"/>
      <c r="G23" s="16"/>
      <c r="H23" s="23"/>
      <c r="I23" s="41"/>
    </row>
    <row r="24" spans="1:9">
      <c r="A24" s="16"/>
      <c r="B24" s="16">
        <v>6090</v>
      </c>
      <c r="C24" s="16"/>
      <c r="D24" s="16" t="s">
        <v>20</v>
      </c>
      <c r="E24" s="43"/>
      <c r="F24" s="16"/>
      <c r="G24" s="16"/>
      <c r="H24" s="25">
        <v>1223.67</v>
      </c>
      <c r="I24" s="41">
        <v>1100</v>
      </c>
    </row>
    <row r="25" spans="1:9">
      <c r="A25" s="16"/>
      <c r="B25" s="16">
        <v>6091</v>
      </c>
      <c r="C25" s="16"/>
      <c r="D25" s="16" t="s">
        <v>21</v>
      </c>
      <c r="E25" s="43"/>
      <c r="F25" s="16"/>
      <c r="G25" s="16"/>
      <c r="H25" s="25">
        <v>1000</v>
      </c>
      <c r="I25" s="41">
        <v>1000</v>
      </c>
    </row>
    <row r="26" spans="1:9">
      <c r="A26" s="16"/>
      <c r="B26" s="16">
        <v>6092</v>
      </c>
      <c r="C26" s="16" t="s">
        <v>22</v>
      </c>
      <c r="D26" s="16"/>
      <c r="E26" s="16"/>
      <c r="F26" s="16" t="s">
        <v>1</v>
      </c>
      <c r="G26" s="16"/>
      <c r="H26" s="25">
        <v>949</v>
      </c>
      <c r="I26" s="41">
        <v>600</v>
      </c>
    </row>
    <row r="27" spans="1:9">
      <c r="A27" s="16"/>
      <c r="B27" s="16">
        <v>6002</v>
      </c>
      <c r="C27" s="16" t="s">
        <v>23</v>
      </c>
      <c r="D27" s="16"/>
      <c r="E27" s="16"/>
      <c r="F27" s="16" t="s">
        <v>1</v>
      </c>
      <c r="G27" s="16"/>
      <c r="H27" s="23"/>
      <c r="I27" s="41">
        <v>0</v>
      </c>
    </row>
    <row r="28" spans="1:9">
      <c r="A28" s="16"/>
      <c r="B28" s="16">
        <v>3173</v>
      </c>
      <c r="C28" s="16" t="s">
        <v>136</v>
      </c>
      <c r="D28" s="16"/>
      <c r="E28" s="16"/>
      <c r="F28" s="16"/>
      <c r="G28" s="16"/>
      <c r="H28" s="25">
        <f>80+105</f>
        <v>185</v>
      </c>
      <c r="I28" s="41">
        <v>2250</v>
      </c>
    </row>
    <row r="29" spans="1:9">
      <c r="A29" s="16"/>
      <c r="B29" s="16">
        <v>3155</v>
      </c>
      <c r="C29" s="16" t="s">
        <v>24</v>
      </c>
      <c r="D29" s="16"/>
      <c r="E29" s="16"/>
      <c r="F29" s="16" t="s">
        <v>25</v>
      </c>
      <c r="G29" s="16"/>
      <c r="H29" s="25">
        <f>105+100+1200+3550</f>
        <v>4955</v>
      </c>
      <c r="I29" s="41">
        <v>5000</v>
      </c>
    </row>
    <row r="30" spans="1:9">
      <c r="A30" s="16"/>
      <c r="B30" s="44" t="s">
        <v>26</v>
      </c>
      <c r="C30" s="16" t="s">
        <v>27</v>
      </c>
      <c r="D30" s="16"/>
      <c r="E30" s="16"/>
      <c r="F30" s="16"/>
      <c r="G30" s="16"/>
      <c r="H30" s="25">
        <f>1.95+1.21+1.06+0.82+1.27+0.75+1.07+1.02+1.28+1.03+0.28+0.79</f>
        <v>12.529999999999998</v>
      </c>
      <c r="I30" s="41">
        <v>20</v>
      </c>
    </row>
    <row r="31" spans="1:9">
      <c r="A31" s="16"/>
      <c r="B31" s="16">
        <v>6342</v>
      </c>
      <c r="C31" s="16" t="s">
        <v>28</v>
      </c>
      <c r="D31" s="16"/>
      <c r="E31" s="16"/>
      <c r="F31" s="16"/>
      <c r="G31" s="16"/>
      <c r="H31" s="25"/>
      <c r="I31" s="41"/>
    </row>
    <row r="32" spans="1:9">
      <c r="A32" s="16"/>
      <c r="B32" s="36" t="s">
        <v>29</v>
      </c>
      <c r="C32" s="16"/>
      <c r="D32" s="16"/>
      <c r="E32" s="16"/>
      <c r="F32" s="16"/>
      <c r="G32" s="16"/>
      <c r="H32" s="30"/>
      <c r="I32" s="30"/>
    </row>
    <row r="33" spans="1:9">
      <c r="A33" s="16"/>
      <c r="B33" s="16">
        <v>3040</v>
      </c>
      <c r="C33" s="16"/>
      <c r="D33" s="16" t="s">
        <v>30</v>
      </c>
      <c r="E33" s="16"/>
      <c r="F33" s="16"/>
      <c r="G33" s="16"/>
      <c r="H33" s="25">
        <f>1400+895+45</f>
        <v>2340</v>
      </c>
      <c r="I33" s="25">
        <v>2750</v>
      </c>
    </row>
    <row r="34" spans="1:9">
      <c r="A34" s="16"/>
      <c r="B34" s="16">
        <v>3090</v>
      </c>
      <c r="C34" s="16"/>
      <c r="D34" s="16" t="s">
        <v>145</v>
      </c>
      <c r="E34" s="16"/>
      <c r="F34" s="16"/>
      <c r="G34" s="16"/>
      <c r="H34" s="25">
        <f>1170+1181.87+60+310.7+210</f>
        <v>2932.5699999999997</v>
      </c>
      <c r="I34" s="41">
        <v>4500</v>
      </c>
    </row>
    <row r="35" spans="1:9">
      <c r="A35" s="16"/>
      <c r="B35" s="16">
        <v>3091</v>
      </c>
      <c r="C35" s="16"/>
      <c r="D35" s="16" t="s">
        <v>31</v>
      </c>
      <c r="E35" s="16"/>
      <c r="F35" s="16"/>
      <c r="G35" s="16"/>
      <c r="H35" s="23"/>
      <c r="I35" s="41">
        <v>200</v>
      </c>
    </row>
    <row r="36" spans="1:9">
      <c r="A36" s="16"/>
      <c r="B36" s="16">
        <v>3008</v>
      </c>
      <c r="C36" s="16"/>
      <c r="D36" s="16" t="s">
        <v>151</v>
      </c>
      <c r="E36" s="16"/>
      <c r="F36" s="16"/>
      <c r="G36" s="16"/>
      <c r="H36" s="25">
        <f>990+4116+1664+320+40+60</f>
        <v>7190</v>
      </c>
      <c r="I36" s="41">
        <v>8000</v>
      </c>
    </row>
    <row r="37" spans="1:9">
      <c r="A37" s="16"/>
      <c r="B37" s="16">
        <v>3001</v>
      </c>
      <c r="C37" s="16"/>
      <c r="D37" s="16" t="s">
        <v>32</v>
      </c>
      <c r="E37" s="16"/>
      <c r="F37" s="16"/>
      <c r="G37" s="16"/>
      <c r="H37" s="23"/>
      <c r="I37" s="41">
        <v>3500</v>
      </c>
    </row>
    <row r="38" spans="1:9">
      <c r="A38" s="16"/>
      <c r="B38" s="16">
        <v>3000</v>
      </c>
      <c r="C38" s="16"/>
      <c r="D38" s="16" t="s">
        <v>143</v>
      </c>
      <c r="E38" s="16"/>
      <c r="F38" s="16"/>
      <c r="G38" s="16"/>
      <c r="H38" s="23">
        <f>56+2568.35+1974+84</f>
        <v>4682.3500000000004</v>
      </c>
      <c r="I38" s="41">
        <v>5000</v>
      </c>
    </row>
    <row r="39" spans="1:9">
      <c r="A39" s="16"/>
      <c r="B39" s="16">
        <v>3020</v>
      </c>
      <c r="C39" s="16"/>
      <c r="D39" s="16" t="s">
        <v>33</v>
      </c>
      <c r="E39" s="16"/>
      <c r="F39" s="16" t="s">
        <v>34</v>
      </c>
      <c r="G39" s="16" t="s">
        <v>35</v>
      </c>
      <c r="H39" s="25">
        <f>28+3460+441+578+38</f>
        <v>4545</v>
      </c>
      <c r="I39" s="41">
        <v>5000</v>
      </c>
    </row>
    <row r="40" spans="1:9">
      <c r="A40" s="16"/>
      <c r="B40" s="16">
        <v>3009</v>
      </c>
      <c r="C40" s="16"/>
      <c r="D40" s="16" t="s">
        <v>144</v>
      </c>
      <c r="E40" s="16"/>
      <c r="F40" s="16"/>
      <c r="G40" s="16"/>
      <c r="H40" s="25">
        <f>150+1995+1860</f>
        <v>4005</v>
      </c>
      <c r="I40" s="41">
        <v>6000</v>
      </c>
    </row>
    <row r="41" spans="1:9">
      <c r="A41" s="16"/>
      <c r="B41" s="44" t="s">
        <v>36</v>
      </c>
      <c r="C41" s="16"/>
      <c r="D41" s="16" t="s">
        <v>37</v>
      </c>
      <c r="E41" s="16"/>
      <c r="F41" s="16"/>
      <c r="G41" s="16"/>
      <c r="H41" s="25"/>
      <c r="I41" s="41">
        <v>0</v>
      </c>
    </row>
    <row r="42" spans="1:9">
      <c r="A42" s="16"/>
      <c r="B42" s="16">
        <v>3006</v>
      </c>
      <c r="C42" s="16"/>
      <c r="D42" s="16" t="s">
        <v>38</v>
      </c>
      <c r="E42" s="16"/>
      <c r="F42" s="16"/>
      <c r="G42" s="16"/>
      <c r="H42" s="25">
        <f>1200+440+695</f>
        <v>2335</v>
      </c>
      <c r="I42" s="41">
        <v>2625</v>
      </c>
    </row>
    <row r="43" spans="1:9">
      <c r="A43" s="16"/>
      <c r="B43" s="16">
        <v>3030</v>
      </c>
      <c r="C43" s="16"/>
      <c r="D43" s="16" t="s">
        <v>146</v>
      </c>
      <c r="E43" s="16"/>
      <c r="F43" s="16"/>
      <c r="G43" s="16"/>
      <c r="H43" s="25">
        <f>425+300+100+25</f>
        <v>850</v>
      </c>
      <c r="I43" s="25">
        <v>1000</v>
      </c>
    </row>
    <row r="44" spans="1:9">
      <c r="A44" s="16"/>
      <c r="B44" s="16">
        <v>3092</v>
      </c>
      <c r="C44" s="16"/>
      <c r="D44" s="16" t="s">
        <v>39</v>
      </c>
      <c r="E44" s="16"/>
      <c r="F44" s="16"/>
      <c r="G44" s="16"/>
      <c r="H44" s="25">
        <f>60+5+5</f>
        <v>70</v>
      </c>
      <c r="I44" s="25">
        <v>100</v>
      </c>
    </row>
    <row r="45" spans="1:9">
      <c r="A45" s="16"/>
      <c r="B45" s="44"/>
      <c r="C45" s="16"/>
      <c r="D45" s="16"/>
      <c r="E45" s="16"/>
      <c r="F45" s="16"/>
      <c r="G45" s="16"/>
      <c r="H45" s="30"/>
      <c r="I45" s="30"/>
    </row>
    <row r="46" spans="1:9">
      <c r="A46" s="16"/>
      <c r="B46" s="44"/>
      <c r="C46" s="16"/>
      <c r="D46" s="16"/>
      <c r="E46" s="16"/>
      <c r="F46" s="16"/>
      <c r="G46" s="16"/>
      <c r="H46" s="30"/>
      <c r="I46" s="30"/>
    </row>
    <row r="47" spans="1:9">
      <c r="A47" s="16"/>
      <c r="B47" s="44"/>
      <c r="C47" s="16"/>
      <c r="D47" s="16"/>
      <c r="E47" s="16"/>
      <c r="F47" s="16"/>
      <c r="G47" s="16"/>
      <c r="H47" s="59" t="s">
        <v>169</v>
      </c>
      <c r="I47" s="68" t="s">
        <v>181</v>
      </c>
    </row>
    <row r="48" spans="1:9">
      <c r="A48" s="16"/>
      <c r="B48" s="16">
        <v>6337</v>
      </c>
      <c r="C48" s="16" t="s">
        <v>40</v>
      </c>
      <c r="D48" s="16"/>
      <c r="E48" s="16"/>
      <c r="F48" s="16"/>
      <c r="G48" s="16"/>
      <c r="H48" s="25">
        <f>42+1222+386+20+30+18+56+60</f>
        <v>1834</v>
      </c>
      <c r="I48" s="41">
        <v>1800</v>
      </c>
    </row>
    <row r="49" spans="1:9">
      <c r="A49" s="16"/>
      <c r="B49" s="16">
        <v>6335</v>
      </c>
      <c r="C49" s="16" t="s">
        <v>41</v>
      </c>
      <c r="D49" s="16"/>
      <c r="E49" s="16"/>
      <c r="F49" s="16"/>
      <c r="G49" s="16"/>
      <c r="H49" s="25">
        <f>150+45+3570+1755+240+15+75+45+60+180</f>
        <v>6135</v>
      </c>
      <c r="I49" s="41">
        <v>7000</v>
      </c>
    </row>
    <row r="50" spans="1:9">
      <c r="A50" s="16"/>
      <c r="B50" s="16">
        <v>3270</v>
      </c>
      <c r="C50" s="16" t="s">
        <v>42</v>
      </c>
      <c r="D50" s="16"/>
      <c r="E50" s="16"/>
      <c r="F50" s="16"/>
      <c r="G50" s="16"/>
      <c r="H50" s="25">
        <f>950+9100+13150+950+2800</f>
        <v>26950</v>
      </c>
      <c r="I50" s="41">
        <v>32000</v>
      </c>
    </row>
    <row r="51" spans="1:9">
      <c r="A51" s="16"/>
      <c r="B51" s="16">
        <v>4400</v>
      </c>
      <c r="C51" s="16" t="s">
        <v>43</v>
      </c>
      <c r="D51" s="16"/>
      <c r="E51" s="16"/>
      <c r="F51" s="16"/>
      <c r="G51" s="16"/>
      <c r="H51" s="25">
        <f>163.5+141+61+42+130.5+15+32+75+20+75+250.08</f>
        <v>1005.08</v>
      </c>
      <c r="I51" s="41">
        <v>1500</v>
      </c>
    </row>
    <row r="52" spans="1:9">
      <c r="A52" s="16"/>
      <c r="B52" s="16">
        <v>4405</v>
      </c>
      <c r="C52" s="16" t="s">
        <v>166</v>
      </c>
      <c r="E52" s="16"/>
      <c r="F52" s="16"/>
      <c r="G52" s="16"/>
      <c r="H52" s="25"/>
      <c r="I52" s="63">
        <v>200</v>
      </c>
    </row>
    <row r="53" spans="1:9">
      <c r="A53" s="16"/>
      <c r="B53" s="16">
        <v>5012</v>
      </c>
      <c r="C53" s="16" t="s">
        <v>44</v>
      </c>
      <c r="D53" s="16"/>
      <c r="E53" s="16"/>
      <c r="F53" s="16"/>
      <c r="G53" s="16"/>
      <c r="H53" s="25">
        <f>510+80+430+280</f>
        <v>1300</v>
      </c>
      <c r="I53" s="15"/>
    </row>
    <row r="54" spans="1:9">
      <c r="A54" s="16"/>
      <c r="B54" s="16">
        <v>5916</v>
      </c>
      <c r="C54" s="16" t="s">
        <v>137</v>
      </c>
      <c r="D54" s="16"/>
      <c r="E54" s="16"/>
      <c r="F54" s="16"/>
      <c r="G54" s="16"/>
      <c r="H54" s="23"/>
      <c r="I54" s="15"/>
    </row>
    <row r="55" spans="1:9">
      <c r="A55" s="16"/>
      <c r="B55" s="16">
        <v>6000</v>
      </c>
      <c r="C55" s="16" t="s">
        <v>45</v>
      </c>
      <c r="D55" s="16"/>
      <c r="E55" s="16"/>
      <c r="F55" s="16"/>
      <c r="G55" s="16"/>
      <c r="H55" s="25">
        <f>1600+365+225+115</f>
        <v>2305</v>
      </c>
      <c r="I55" s="15"/>
    </row>
    <row r="56" spans="1:9">
      <c r="A56" s="16"/>
      <c r="B56" s="44">
        <v>6001</v>
      </c>
      <c r="C56" s="16" t="s">
        <v>46</v>
      </c>
      <c r="D56" s="16"/>
      <c r="E56" s="16"/>
      <c r="F56" s="16"/>
      <c r="G56" s="16"/>
      <c r="H56" s="25">
        <f>17+600+100</f>
        <v>717</v>
      </c>
      <c r="I56" s="15"/>
    </row>
    <row r="57" spans="1:9">
      <c r="A57" s="16"/>
      <c r="B57" s="44">
        <v>6206</v>
      </c>
      <c r="C57" s="16" t="s">
        <v>47</v>
      </c>
      <c r="D57" s="16"/>
      <c r="E57" s="16"/>
      <c r="F57" s="16"/>
      <c r="G57" s="16"/>
      <c r="H57" s="25">
        <f>884-175.75+47.5+3737.5+175.75+7+37.9+0.5+70+204.75</f>
        <v>4989.1499999999996</v>
      </c>
      <c r="I57" s="15"/>
    </row>
    <row r="58" spans="1:9">
      <c r="A58" s="16"/>
      <c r="B58" s="44">
        <v>6900</v>
      </c>
      <c r="C58" s="16" t="s">
        <v>182</v>
      </c>
      <c r="D58" s="16"/>
      <c r="E58" s="16"/>
      <c r="F58" s="41"/>
      <c r="G58" s="41"/>
      <c r="H58" s="25">
        <v>24</v>
      </c>
      <c r="I58" s="15"/>
    </row>
    <row r="59" spans="1:9">
      <c r="A59" s="16"/>
      <c r="B59" s="30">
        <v>6800</v>
      </c>
      <c r="C59" s="33" t="s">
        <v>168</v>
      </c>
      <c r="D59" s="30"/>
      <c r="E59" s="30"/>
      <c r="F59" s="30"/>
      <c r="G59" s="30"/>
      <c r="H59" s="25" t="s">
        <v>1</v>
      </c>
      <c r="I59" s="25">
        <f>4250+2250</f>
        <v>6500</v>
      </c>
    </row>
    <row r="60" spans="1:9">
      <c r="A60" s="16"/>
      <c r="B60" s="30"/>
      <c r="C60" s="30"/>
      <c r="D60" s="30"/>
      <c r="H60" s="30"/>
    </row>
    <row r="61" spans="1:9">
      <c r="A61" s="16"/>
      <c r="B61" s="30"/>
      <c r="C61" s="30"/>
      <c r="D61" s="30"/>
      <c r="H61" s="3"/>
    </row>
    <row r="62" spans="1:9">
      <c r="A62" s="16"/>
      <c r="B62" s="36" t="s">
        <v>48</v>
      </c>
      <c r="C62" s="16"/>
      <c r="D62" s="16"/>
      <c r="E62" s="34"/>
      <c r="F62" s="1"/>
      <c r="G62" s="2"/>
      <c r="H62" s="11">
        <f>SUM(H21:H61)</f>
        <v>136351.1</v>
      </c>
      <c r="I62" s="11">
        <f>SUM(I21:I61)</f>
        <v>155245</v>
      </c>
    </row>
    <row r="63" spans="1:9">
      <c r="A63" s="16"/>
      <c r="B63" s="36"/>
      <c r="C63" s="16"/>
      <c r="D63" s="16"/>
      <c r="E63" s="34"/>
      <c r="F63" s="1"/>
      <c r="G63" s="2"/>
      <c r="H63" s="26">
        <f>SUM(K19:K59)</f>
        <v>0</v>
      </c>
    </row>
    <row r="64" spans="1:9">
      <c r="A64" s="16"/>
      <c r="B64" s="16"/>
      <c r="C64" s="16"/>
      <c r="D64" s="16"/>
      <c r="E64" s="34"/>
      <c r="F64" s="1"/>
      <c r="G64" s="2"/>
      <c r="H64" s="3"/>
    </row>
    <row r="65" spans="1:9" ht="39.75" customHeight="1">
      <c r="A65" s="16"/>
      <c r="B65" s="36" t="s">
        <v>49</v>
      </c>
      <c r="C65" s="16"/>
      <c r="D65" s="16"/>
      <c r="E65" s="34"/>
      <c r="F65" s="9" t="s">
        <v>13</v>
      </c>
      <c r="G65" s="10" t="s">
        <v>14</v>
      </c>
      <c r="H65" s="64" t="s">
        <v>179</v>
      </c>
      <c r="I65" s="13" t="s">
        <v>178</v>
      </c>
    </row>
    <row r="66" spans="1:9">
      <c r="A66" s="32"/>
      <c r="B66" s="32"/>
      <c r="C66" s="32" t="s">
        <v>50</v>
      </c>
      <c r="D66" s="32"/>
      <c r="E66" s="38"/>
      <c r="F66" s="31"/>
      <c r="G66" s="46"/>
      <c r="H66" s="24"/>
      <c r="I66" s="5"/>
    </row>
    <row r="67" spans="1:9">
      <c r="A67" s="16"/>
      <c r="B67" s="16">
        <v>4000</v>
      </c>
      <c r="C67" s="16"/>
      <c r="D67" s="16" t="s">
        <v>51</v>
      </c>
      <c r="E67" s="16"/>
      <c r="F67" s="16"/>
      <c r="G67" s="16"/>
      <c r="H67" s="23"/>
      <c r="I67" s="41">
        <v>750</v>
      </c>
    </row>
    <row r="68" spans="1:9">
      <c r="A68" s="16"/>
      <c r="B68" s="44" t="s">
        <v>52</v>
      </c>
      <c r="C68" s="16"/>
      <c r="D68" s="16" t="s">
        <v>53</v>
      </c>
      <c r="E68" s="16"/>
      <c r="F68" s="16" t="s">
        <v>54</v>
      </c>
      <c r="G68" s="16"/>
      <c r="H68" s="25">
        <f>33.3+592.89+285+398.77+180</f>
        <v>1489.96</v>
      </c>
      <c r="I68" s="41">
        <v>1500</v>
      </c>
    </row>
    <row r="69" spans="1:9">
      <c r="A69" s="16"/>
      <c r="B69" s="44" t="s">
        <v>55</v>
      </c>
      <c r="C69" s="16"/>
      <c r="D69" s="16" t="s">
        <v>56</v>
      </c>
      <c r="E69" s="16"/>
      <c r="F69" s="16" t="s">
        <v>1</v>
      </c>
      <c r="G69" s="16"/>
      <c r="H69" s="23"/>
      <c r="I69" s="41"/>
    </row>
    <row r="70" spans="1:9">
      <c r="A70" s="16"/>
      <c r="B70" s="16"/>
      <c r="C70" s="16"/>
      <c r="D70" s="47" t="s">
        <v>57</v>
      </c>
      <c r="E70" s="16"/>
      <c r="F70" s="16"/>
      <c r="G70" s="16"/>
      <c r="H70" s="65">
        <f>SUM(H67:H69)</f>
        <v>1489.96</v>
      </c>
      <c r="I70" s="45">
        <f>SUM(I67:I69)</f>
        <v>2250</v>
      </c>
    </row>
    <row r="71" spans="1:9">
      <c r="A71" s="16"/>
      <c r="B71" s="16"/>
      <c r="C71" s="36" t="s">
        <v>58</v>
      </c>
      <c r="D71" s="16"/>
      <c r="E71" s="16"/>
      <c r="F71" s="16"/>
      <c r="G71" s="16"/>
      <c r="H71" s="23"/>
      <c r="I71" s="41"/>
    </row>
    <row r="72" spans="1:9">
      <c r="A72" s="16"/>
      <c r="B72" s="16">
        <v>4100</v>
      </c>
      <c r="C72" s="16"/>
      <c r="D72" s="16" t="s">
        <v>51</v>
      </c>
      <c r="E72" s="16"/>
      <c r="F72" s="16"/>
      <c r="G72" s="16"/>
      <c r="H72" s="23"/>
      <c r="I72" s="41">
        <v>500</v>
      </c>
    </row>
    <row r="73" spans="1:9">
      <c r="A73" s="16"/>
      <c r="B73" s="44" t="s">
        <v>59</v>
      </c>
      <c r="C73" s="16"/>
      <c r="D73" s="16" t="s">
        <v>60</v>
      </c>
      <c r="E73" s="16"/>
      <c r="F73" s="16" t="s">
        <v>54</v>
      </c>
      <c r="G73" s="16"/>
      <c r="H73" s="25">
        <f>580.02+718.28+180</f>
        <v>1478.3</v>
      </c>
      <c r="I73" s="41">
        <v>1500</v>
      </c>
    </row>
    <row r="74" spans="1:9">
      <c r="A74" s="16"/>
      <c r="B74" s="16"/>
      <c r="C74" s="16"/>
      <c r="D74" s="47" t="s">
        <v>57</v>
      </c>
      <c r="E74" s="16"/>
      <c r="F74" s="16"/>
      <c r="G74" s="16"/>
      <c r="H74" s="66">
        <f>SUM(H72:H73)</f>
        <v>1478.3</v>
      </c>
      <c r="I74" s="45">
        <f>SUM(I72:I73)</f>
        <v>2000</v>
      </c>
    </row>
    <row r="75" spans="1:9">
      <c r="A75" s="16"/>
      <c r="B75" s="16"/>
      <c r="C75" s="16"/>
      <c r="D75" s="16"/>
      <c r="E75" s="16"/>
      <c r="F75" s="16"/>
      <c r="G75" s="16"/>
      <c r="H75" s="50" t="s">
        <v>1</v>
      </c>
      <c r="I75" s="30"/>
    </row>
    <row r="76" spans="1:9">
      <c r="A76" s="16"/>
      <c r="B76" s="16"/>
      <c r="C76" s="36" t="s">
        <v>61</v>
      </c>
      <c r="D76" s="16"/>
      <c r="E76" s="16"/>
      <c r="F76" s="16"/>
      <c r="G76" s="16"/>
      <c r="H76" s="23"/>
      <c r="I76" s="30"/>
    </row>
    <row r="77" spans="1:9">
      <c r="A77" s="16"/>
      <c r="B77" s="16">
        <v>4205</v>
      </c>
      <c r="C77" s="16"/>
      <c r="D77" s="16" t="s">
        <v>62</v>
      </c>
      <c r="E77" s="16"/>
      <c r="F77" s="16"/>
      <c r="G77" s="16" t="s">
        <v>1</v>
      </c>
      <c r="H77" s="25">
        <f>1593.95+1622+2573.27+1773.4+1643.56+1722+1667.66+1651.66+1624.54+2499.05+1667.66+1853.21</f>
        <v>21891.959999999995</v>
      </c>
      <c r="I77" s="41">
        <v>25000</v>
      </c>
    </row>
    <row r="78" spans="1:9">
      <c r="A78" s="16"/>
      <c r="B78" s="16">
        <v>4206</v>
      </c>
      <c r="C78" s="16"/>
      <c r="D78" s="16" t="s">
        <v>63</v>
      </c>
      <c r="E78" s="16"/>
      <c r="F78" s="16" t="s">
        <v>1</v>
      </c>
      <c r="G78" s="16"/>
      <c r="H78" s="25">
        <f>871.21+964.78+868.52+946.37</f>
        <v>3650.88</v>
      </c>
      <c r="I78" s="41">
        <v>3800</v>
      </c>
    </row>
    <row r="79" spans="1:9">
      <c r="A79" s="16"/>
      <c r="B79" s="16">
        <v>4207</v>
      </c>
      <c r="C79" s="16"/>
      <c r="D79" s="16" t="s">
        <v>64</v>
      </c>
      <c r="E79" s="16"/>
      <c r="F79" s="16"/>
      <c r="G79" s="16"/>
      <c r="H79" s="25">
        <f>514+516.71+462.88+626.71</f>
        <v>2120.3000000000002</v>
      </c>
      <c r="I79" s="41">
        <v>2500</v>
      </c>
    </row>
    <row r="80" spans="1:9">
      <c r="A80" s="16"/>
      <c r="B80" s="16">
        <v>4208</v>
      </c>
      <c r="C80" s="16"/>
      <c r="D80" s="16" t="s">
        <v>65</v>
      </c>
      <c r="E80" s="16"/>
      <c r="F80" s="16"/>
      <c r="G80" s="16"/>
      <c r="H80" s="23"/>
      <c r="I80" s="41">
        <v>150</v>
      </c>
    </row>
    <row r="81" spans="1:12">
      <c r="A81" s="16"/>
      <c r="B81" s="16">
        <v>4312</v>
      </c>
      <c r="C81" s="16"/>
      <c r="D81" s="16" t="s">
        <v>66</v>
      </c>
      <c r="E81" s="16"/>
      <c r="F81" s="16"/>
      <c r="G81" s="16"/>
      <c r="H81" s="25">
        <f>12.02+9.4+32.35+23.75+31.06+38.52+18.63</f>
        <v>165.73000000000002</v>
      </c>
      <c r="I81" s="41">
        <v>350</v>
      </c>
    </row>
    <row r="82" spans="1:12">
      <c r="A82" s="16"/>
      <c r="B82" s="16">
        <v>4311</v>
      </c>
      <c r="C82" s="16"/>
      <c r="D82" s="16" t="s">
        <v>67</v>
      </c>
      <c r="E82" s="16"/>
      <c r="F82" s="16"/>
      <c r="G82" s="16"/>
      <c r="H82" s="25">
        <f>175.19+170.77+168.77+182.5+379.29+173.21+216.16+177.2+185.61+357.52</f>
        <v>2186.2200000000003</v>
      </c>
      <c r="I82" s="41">
        <v>2100</v>
      </c>
    </row>
    <row r="83" spans="1:12">
      <c r="A83" s="16"/>
      <c r="B83" s="16">
        <v>4310</v>
      </c>
      <c r="C83" s="16"/>
      <c r="D83" s="16" t="s">
        <v>68</v>
      </c>
      <c r="E83" s="16"/>
      <c r="F83" s="16" t="s">
        <v>69</v>
      </c>
      <c r="G83" s="16"/>
      <c r="H83" s="25">
        <f>38.14+69.74+69.99+40.23+250.93</f>
        <v>469.03</v>
      </c>
      <c r="I83" s="41">
        <v>3000</v>
      </c>
    </row>
    <row r="84" spans="1:12">
      <c r="A84" s="16"/>
      <c r="B84" s="16">
        <v>4319</v>
      </c>
      <c r="C84" s="16"/>
      <c r="D84" s="16" t="s">
        <v>70</v>
      </c>
      <c r="E84" s="16"/>
      <c r="F84" s="16" t="s">
        <v>1</v>
      </c>
      <c r="G84" s="16"/>
      <c r="H84" s="23"/>
      <c r="I84" s="41">
        <v>300</v>
      </c>
    </row>
    <row r="85" spans="1:12">
      <c r="A85" s="16"/>
      <c r="B85" s="16">
        <v>4316</v>
      </c>
      <c r="C85" s="16"/>
      <c r="D85" s="16" t="s">
        <v>71</v>
      </c>
      <c r="E85" s="16"/>
      <c r="F85" s="16"/>
      <c r="G85" s="16"/>
      <c r="H85" s="25">
        <f>11.75+11.75+52.57+22.84+69.93+7.94+50.91+35.69</f>
        <v>263.38</v>
      </c>
      <c r="I85" s="41">
        <v>300</v>
      </c>
    </row>
    <row r="86" spans="1:12">
      <c r="A86" s="16"/>
      <c r="B86" s="16">
        <v>4320</v>
      </c>
      <c r="C86" s="16"/>
      <c r="D86" s="16" t="s">
        <v>72</v>
      </c>
      <c r="E86" s="16"/>
      <c r="F86" s="16"/>
      <c r="G86" s="16"/>
      <c r="H86" s="25">
        <f>806.12+147.14</f>
        <v>953.26</v>
      </c>
      <c r="I86" s="41">
        <v>700</v>
      </c>
    </row>
    <row r="87" spans="1:12">
      <c r="A87" s="16"/>
      <c r="B87" s="16">
        <v>4325</v>
      </c>
      <c r="C87" s="16"/>
      <c r="D87" s="16" t="s">
        <v>73</v>
      </c>
      <c r="E87" s="16"/>
      <c r="F87" s="16"/>
      <c r="G87" s="16"/>
      <c r="H87" s="25">
        <f>308.81+762.35+253.64+27.66+301.27</f>
        <v>1653.7300000000002</v>
      </c>
      <c r="I87" s="41">
        <v>2400</v>
      </c>
      <c r="L87" s="62"/>
    </row>
    <row r="88" spans="1:12">
      <c r="A88" s="16"/>
      <c r="B88" s="16">
        <v>4325</v>
      </c>
      <c r="C88" s="16"/>
      <c r="D88" s="16" t="s">
        <v>74</v>
      </c>
      <c r="E88" s="16"/>
      <c r="F88" s="16"/>
      <c r="G88" s="16"/>
      <c r="H88" s="25">
        <f>1195.74+645.78+588.79+1177.58+18.17+60.87+82.11</f>
        <v>3769.04</v>
      </c>
      <c r="I88" s="41">
        <v>5000</v>
      </c>
      <c r="L88" s="62"/>
    </row>
    <row r="89" spans="1:12">
      <c r="A89" s="16"/>
      <c r="B89" s="16">
        <v>4315</v>
      </c>
      <c r="C89" s="16"/>
      <c r="D89" s="16" t="s">
        <v>75</v>
      </c>
      <c r="E89" s="16"/>
      <c r="F89" s="16" t="s">
        <v>76</v>
      </c>
      <c r="G89" s="16"/>
      <c r="H89" s="25">
        <f>900</f>
        <v>900</v>
      </c>
      <c r="I89" s="41">
        <v>900</v>
      </c>
    </row>
    <row r="90" spans="1:12">
      <c r="A90" s="16"/>
      <c r="B90" s="16">
        <v>4400</v>
      </c>
      <c r="C90" s="16"/>
      <c r="D90" s="16" t="s">
        <v>43</v>
      </c>
      <c r="E90" s="16"/>
      <c r="F90" s="16"/>
      <c r="G90" s="16"/>
      <c r="H90" s="25">
        <f>21.75+52.15+130.06+37</f>
        <v>240.96</v>
      </c>
      <c r="I90" s="41">
        <v>1500</v>
      </c>
      <c r="J90" s="3" t="s">
        <v>1</v>
      </c>
    </row>
    <row r="91" spans="1:12">
      <c r="A91" s="16"/>
      <c r="B91" s="16"/>
      <c r="C91" s="16"/>
      <c r="D91" s="47" t="s">
        <v>57</v>
      </c>
      <c r="E91" s="16"/>
      <c r="F91" s="16"/>
      <c r="G91" s="16"/>
      <c r="H91" s="26">
        <f>SUM(H77:H90)</f>
        <v>38264.49</v>
      </c>
      <c r="I91" s="11">
        <f>SUM(I77:I90)</f>
        <v>48000</v>
      </c>
    </row>
    <row r="92" spans="1:12">
      <c r="A92" s="16"/>
      <c r="B92" s="16"/>
      <c r="C92" s="16"/>
      <c r="D92" s="16"/>
      <c r="E92" s="16"/>
      <c r="F92" s="16"/>
      <c r="G92" s="16"/>
      <c r="H92" s="59" t="s">
        <v>169</v>
      </c>
      <c r="I92" s="68" t="s">
        <v>181</v>
      </c>
    </row>
    <row r="93" spans="1:12">
      <c r="A93" s="16"/>
      <c r="B93" s="16"/>
      <c r="C93" s="36" t="s">
        <v>77</v>
      </c>
      <c r="D93" s="16"/>
      <c r="E93" s="16"/>
      <c r="F93" s="16"/>
      <c r="G93" s="16"/>
      <c r="H93" s="3"/>
      <c r="I93" s="16"/>
    </row>
    <row r="94" spans="1:12">
      <c r="A94" s="16"/>
      <c r="B94" s="16">
        <v>3050</v>
      </c>
      <c r="C94" s="16"/>
      <c r="D94" s="16" t="s">
        <v>78</v>
      </c>
      <c r="E94" s="16"/>
      <c r="F94" s="16"/>
      <c r="G94" s="16"/>
      <c r="H94" s="23"/>
      <c r="I94" s="41">
        <v>100</v>
      </c>
    </row>
    <row r="95" spans="1:12">
      <c r="A95" s="16"/>
      <c r="B95" s="16">
        <v>6337</v>
      </c>
      <c r="C95" s="16"/>
      <c r="D95" s="16" t="s">
        <v>40</v>
      </c>
      <c r="E95" s="16"/>
      <c r="F95" s="16"/>
      <c r="G95" s="16"/>
      <c r="H95" s="25">
        <v>1815</v>
      </c>
      <c r="I95" s="41">
        <v>2000</v>
      </c>
    </row>
    <row r="96" spans="1:12">
      <c r="A96" s="16"/>
      <c r="B96" s="16">
        <v>6335</v>
      </c>
      <c r="C96" s="16"/>
      <c r="D96" s="16" t="s">
        <v>41</v>
      </c>
      <c r="E96" s="16"/>
      <c r="F96" s="16" t="s">
        <v>79</v>
      </c>
      <c r="G96" s="16"/>
      <c r="H96" s="25">
        <f>6030+180</f>
        <v>6210</v>
      </c>
      <c r="I96" s="41">
        <v>6000</v>
      </c>
    </row>
    <row r="97" spans="1:9">
      <c r="A97" s="16"/>
      <c r="B97" s="16">
        <v>5008</v>
      </c>
      <c r="C97" s="16"/>
      <c r="D97" s="16" t="s">
        <v>80</v>
      </c>
      <c r="E97" s="16"/>
      <c r="F97" s="16" t="s">
        <v>81</v>
      </c>
      <c r="G97" s="16"/>
      <c r="H97" s="25">
        <f>108+1188</f>
        <v>1296</v>
      </c>
      <c r="I97" s="41">
        <v>2200</v>
      </c>
    </row>
    <row r="98" spans="1:9">
      <c r="A98" s="16"/>
      <c r="B98" s="16">
        <v>5000</v>
      </c>
      <c r="C98" s="16"/>
      <c r="D98" s="16" t="s">
        <v>82</v>
      </c>
      <c r="E98" s="16"/>
      <c r="F98" s="16"/>
      <c r="G98" s="16"/>
      <c r="H98" s="25">
        <f>20+159+1164.03+50+162+25+85</f>
        <v>1665.03</v>
      </c>
      <c r="I98" s="41">
        <v>1800</v>
      </c>
    </row>
    <row r="99" spans="1:9">
      <c r="A99" s="16"/>
      <c r="B99" s="16">
        <v>5005</v>
      </c>
      <c r="C99" s="16"/>
      <c r="D99" s="16" t="s">
        <v>83</v>
      </c>
      <c r="E99" s="16"/>
      <c r="F99" s="16"/>
      <c r="G99" s="16"/>
      <c r="H99" s="25">
        <v>26.66</v>
      </c>
      <c r="I99" s="41">
        <v>200</v>
      </c>
    </row>
    <row r="100" spans="1:9">
      <c r="A100" s="16"/>
      <c r="B100" s="44">
        <v>6425</v>
      </c>
      <c r="C100" s="16"/>
      <c r="D100" s="16" t="s">
        <v>84</v>
      </c>
      <c r="E100" s="16"/>
      <c r="F100" s="16" t="s">
        <v>1</v>
      </c>
      <c r="G100" s="16"/>
      <c r="H100" s="25">
        <f>24</f>
        <v>24</v>
      </c>
      <c r="I100" s="41">
        <v>50</v>
      </c>
    </row>
    <row r="101" spans="1:9">
      <c r="A101" s="16"/>
      <c r="B101" s="16"/>
      <c r="C101" s="16"/>
      <c r="D101" s="47" t="s">
        <v>57</v>
      </c>
      <c r="E101" s="16"/>
      <c r="F101" s="16"/>
      <c r="G101" s="16"/>
      <c r="H101" s="26">
        <f>SUM(H94:H100)</f>
        <v>11036.69</v>
      </c>
      <c r="I101" s="11">
        <f>SUM(I94:I100)</f>
        <v>12350</v>
      </c>
    </row>
    <row r="102" spans="1:9">
      <c r="A102" s="16"/>
      <c r="B102" s="16"/>
      <c r="C102" s="16"/>
      <c r="D102" s="47"/>
      <c r="E102" s="16"/>
      <c r="F102" s="16"/>
      <c r="G102" s="16"/>
      <c r="H102" s="3"/>
      <c r="I102" s="30"/>
    </row>
    <row r="103" spans="1:9">
      <c r="A103" s="16"/>
      <c r="B103" s="16"/>
      <c r="C103" s="16"/>
      <c r="D103" s="16"/>
      <c r="E103" s="16"/>
      <c r="F103" s="16"/>
      <c r="G103" s="16"/>
      <c r="H103" s="59" t="s">
        <v>169</v>
      </c>
      <c r="I103" s="68" t="s">
        <v>181</v>
      </c>
    </row>
    <row r="104" spans="1:9">
      <c r="A104" s="16"/>
      <c r="B104" s="16"/>
      <c r="C104" s="36" t="s">
        <v>85</v>
      </c>
      <c r="D104" s="16"/>
      <c r="E104" s="16"/>
      <c r="F104" s="16"/>
      <c r="G104" s="16"/>
      <c r="H104" s="3"/>
      <c r="I104" s="16"/>
    </row>
    <row r="105" spans="1:9">
      <c r="A105" s="16"/>
      <c r="B105" s="16">
        <v>5105</v>
      </c>
      <c r="C105" s="16"/>
      <c r="D105" s="16" t="s">
        <v>86</v>
      </c>
      <c r="E105" s="16"/>
      <c r="F105" s="16"/>
      <c r="G105" s="16"/>
      <c r="H105" s="23"/>
      <c r="I105" s="48">
        <v>50</v>
      </c>
    </row>
    <row r="106" spans="1:9">
      <c r="A106" s="16"/>
      <c r="B106" s="16">
        <v>5140</v>
      </c>
      <c r="C106" s="16"/>
      <c r="D106" s="16" t="s">
        <v>87</v>
      </c>
      <c r="E106" s="16"/>
      <c r="F106" s="16"/>
      <c r="G106" s="16"/>
      <c r="H106" s="25">
        <v>60</v>
      </c>
      <c r="I106" s="48">
        <v>100</v>
      </c>
    </row>
    <row r="107" spans="1:9">
      <c r="A107" s="16"/>
      <c r="B107" s="16">
        <v>5125</v>
      </c>
      <c r="C107" s="16"/>
      <c r="D107" s="16" t="s">
        <v>88</v>
      </c>
      <c r="E107" s="16"/>
      <c r="F107" s="16"/>
      <c r="G107" s="16"/>
      <c r="H107" s="23"/>
      <c r="I107" s="48">
        <v>50</v>
      </c>
    </row>
    <row r="108" spans="1:9">
      <c r="A108" s="16"/>
      <c r="B108" s="16">
        <v>5206</v>
      </c>
      <c r="C108" s="16"/>
      <c r="D108" s="16" t="s">
        <v>89</v>
      </c>
      <c r="E108" s="16"/>
      <c r="F108" s="16"/>
      <c r="G108" s="16"/>
      <c r="H108" s="23"/>
      <c r="I108" s="48">
        <v>100</v>
      </c>
    </row>
    <row r="109" spans="1:9">
      <c r="A109" s="16"/>
      <c r="B109" s="16">
        <v>5207</v>
      </c>
      <c r="C109" s="16"/>
      <c r="D109" s="16" t="s">
        <v>90</v>
      </c>
      <c r="E109" s="16"/>
      <c r="F109" s="16"/>
      <c r="G109" s="16"/>
      <c r="H109" s="25">
        <f>2.48+17.94+100+3.76+5.43+2.95</f>
        <v>132.56</v>
      </c>
      <c r="I109" s="48">
        <v>400</v>
      </c>
    </row>
    <row r="110" spans="1:9">
      <c r="A110" s="16"/>
      <c r="B110" s="16">
        <v>5210</v>
      </c>
      <c r="C110" s="16"/>
      <c r="D110" s="16" t="s">
        <v>91</v>
      </c>
      <c r="E110" s="16"/>
      <c r="F110" s="16"/>
      <c r="G110" s="16"/>
      <c r="H110" s="25">
        <f>181.59+100</f>
        <v>281.59000000000003</v>
      </c>
      <c r="I110" s="48">
        <v>2500</v>
      </c>
    </row>
    <row r="111" spans="1:9">
      <c r="A111" s="16"/>
      <c r="B111" s="16">
        <v>5307</v>
      </c>
      <c r="C111" s="16"/>
      <c r="D111" s="16" t="s">
        <v>92</v>
      </c>
      <c r="E111" s="16"/>
      <c r="F111" s="16"/>
      <c r="G111" s="16"/>
      <c r="H111" s="23"/>
      <c r="I111" s="48">
        <v>50</v>
      </c>
    </row>
    <row r="112" spans="1:9">
      <c r="A112" s="16"/>
      <c r="B112" s="16">
        <v>5310</v>
      </c>
      <c r="C112" s="16"/>
      <c r="D112" s="16" t="s">
        <v>93</v>
      </c>
      <c r="E112" s="16"/>
      <c r="F112" s="16"/>
      <c r="G112" s="16"/>
      <c r="H112" s="23"/>
      <c r="I112" s="48">
        <v>50</v>
      </c>
    </row>
    <row r="113" spans="1:9">
      <c r="A113" s="16"/>
      <c r="B113" s="16">
        <v>5509</v>
      </c>
      <c r="C113" s="16"/>
      <c r="D113" s="16" t="s">
        <v>94</v>
      </c>
      <c r="E113" s="16"/>
      <c r="F113" s="16"/>
      <c r="G113" s="16"/>
      <c r="H113" s="23"/>
      <c r="I113" s="48">
        <v>50</v>
      </c>
    </row>
    <row r="114" spans="1:9">
      <c r="A114" s="16"/>
      <c r="B114" s="16">
        <v>5510</v>
      </c>
      <c r="C114" s="16"/>
      <c r="D114" s="16" t="s">
        <v>95</v>
      </c>
      <c r="E114" s="16"/>
      <c r="F114" s="16"/>
      <c r="G114" s="16"/>
      <c r="H114" s="25">
        <f>328+1176.18</f>
        <v>1504.18</v>
      </c>
      <c r="I114" s="25">
        <v>2200</v>
      </c>
    </row>
    <row r="115" spans="1:9">
      <c r="A115" s="16"/>
      <c r="B115" s="16">
        <v>5408</v>
      </c>
      <c r="C115" s="16"/>
      <c r="D115" s="16" t="s">
        <v>96</v>
      </c>
      <c r="E115" s="16"/>
      <c r="F115" s="16"/>
      <c r="G115" s="16"/>
      <c r="H115" s="23"/>
      <c r="I115" s="48">
        <v>50</v>
      </c>
    </row>
    <row r="116" spans="1:9">
      <c r="A116" s="16"/>
      <c r="B116" s="16">
        <v>5410</v>
      </c>
      <c r="C116" s="16"/>
      <c r="D116" s="16" t="s">
        <v>97</v>
      </c>
      <c r="E116" s="16"/>
      <c r="F116" s="16"/>
      <c r="G116" s="16"/>
      <c r="H116" s="23"/>
      <c r="I116" s="48">
        <v>50</v>
      </c>
    </row>
    <row r="117" spans="1:9">
      <c r="A117" s="16"/>
      <c r="B117" s="16">
        <v>5610</v>
      </c>
      <c r="C117" s="16"/>
      <c r="D117" s="16" t="s">
        <v>98</v>
      </c>
      <c r="E117" s="16"/>
      <c r="F117" s="16"/>
      <c r="G117" s="16"/>
      <c r="H117" s="23"/>
      <c r="I117" s="48">
        <v>50</v>
      </c>
    </row>
    <row r="118" spans="1:9">
      <c r="A118" s="16"/>
      <c r="B118" s="16">
        <v>5010</v>
      </c>
      <c r="C118" s="16"/>
      <c r="D118" s="16" t="s">
        <v>99</v>
      </c>
      <c r="E118" s="16"/>
      <c r="F118" s="16"/>
      <c r="G118" s="16"/>
      <c r="H118" s="23"/>
      <c r="I118" s="48">
        <v>100</v>
      </c>
    </row>
    <row r="119" spans="1:9">
      <c r="A119" s="16"/>
      <c r="B119" s="16">
        <v>5011</v>
      </c>
      <c r="C119" s="16"/>
      <c r="D119" s="16" t="s">
        <v>100</v>
      </c>
      <c r="E119" s="16"/>
      <c r="F119" s="16"/>
      <c r="G119" s="16"/>
      <c r="H119" s="25">
        <f>90+180+180+90+90+259.23+90</f>
        <v>979.23</v>
      </c>
      <c r="I119" s="48">
        <v>1000</v>
      </c>
    </row>
    <row r="120" spans="1:9">
      <c r="A120" s="16"/>
      <c r="B120" s="16">
        <v>5712</v>
      </c>
      <c r="C120" s="16"/>
      <c r="D120" s="16" t="s">
        <v>101</v>
      </c>
      <c r="E120" s="16"/>
      <c r="F120" s="16"/>
      <c r="G120" s="16"/>
      <c r="H120" s="23"/>
      <c r="I120" s="48">
        <v>50</v>
      </c>
    </row>
    <row r="121" spans="1:9">
      <c r="A121" s="16"/>
      <c r="B121" s="16">
        <v>5813</v>
      </c>
      <c r="C121" s="16"/>
      <c r="D121" s="16" t="s">
        <v>102</v>
      </c>
      <c r="E121" s="16"/>
      <c r="F121" s="16"/>
      <c r="G121" s="16"/>
      <c r="H121" s="23"/>
      <c r="I121" s="48">
        <v>150</v>
      </c>
    </row>
    <row r="122" spans="1:9">
      <c r="A122" s="16"/>
      <c r="B122" s="16">
        <v>5904</v>
      </c>
      <c r="C122" s="16"/>
      <c r="D122" s="16" t="s">
        <v>103</v>
      </c>
      <c r="E122" s="16"/>
      <c r="F122" s="16"/>
      <c r="G122" s="16"/>
      <c r="H122" s="23"/>
      <c r="I122" s="48">
        <v>100</v>
      </c>
    </row>
    <row r="123" spans="1:9">
      <c r="A123" s="16"/>
      <c r="B123" s="16"/>
      <c r="C123" s="16"/>
      <c r="D123" s="49" t="s">
        <v>167</v>
      </c>
      <c r="E123" s="16"/>
      <c r="F123" s="16"/>
      <c r="G123" s="16"/>
      <c r="H123" s="3"/>
      <c r="I123" s="25">
        <v>200</v>
      </c>
    </row>
    <row r="124" spans="1:9">
      <c r="A124" s="16"/>
      <c r="B124" s="44" t="s">
        <v>104</v>
      </c>
      <c r="C124" s="16"/>
      <c r="D124" s="16" t="s">
        <v>105</v>
      </c>
      <c r="E124" s="16"/>
      <c r="F124" s="16"/>
      <c r="G124" s="16"/>
      <c r="H124" s="25">
        <f>14.03+19.41+41.63+46.68+42.6+65.03+60.31+25.56+51.53+39.89+24.14-0.8</f>
        <v>430.00999999999993</v>
      </c>
      <c r="I124" s="48">
        <v>1000</v>
      </c>
    </row>
    <row r="125" spans="1:9">
      <c r="A125" s="16"/>
      <c r="B125" s="16">
        <v>5012</v>
      </c>
      <c r="C125" s="16"/>
      <c r="D125" s="16" t="s">
        <v>44</v>
      </c>
      <c r="E125" s="16"/>
      <c r="F125" s="16" t="s">
        <v>1</v>
      </c>
      <c r="G125" s="16"/>
      <c r="H125" s="25">
        <f>295.36+300+700</f>
        <v>1295.3600000000001</v>
      </c>
      <c r="I125" s="48"/>
    </row>
    <row r="126" spans="1:9">
      <c r="A126" s="16"/>
      <c r="B126" s="16">
        <v>5120</v>
      </c>
      <c r="C126" s="16"/>
      <c r="D126" s="16" t="s">
        <v>106</v>
      </c>
      <c r="E126" s="16"/>
      <c r="F126" s="16"/>
      <c r="G126" s="16"/>
      <c r="H126" s="23"/>
      <c r="I126" s="48">
        <v>50</v>
      </c>
    </row>
    <row r="127" spans="1:9">
      <c r="A127" s="16"/>
      <c r="B127" s="16">
        <v>5511</v>
      </c>
      <c r="C127" s="16"/>
      <c r="D127" s="16" t="s">
        <v>107</v>
      </c>
      <c r="E127" s="16"/>
      <c r="F127" s="16"/>
      <c r="G127" s="16"/>
      <c r="H127" s="23"/>
      <c r="I127" s="48">
        <v>50</v>
      </c>
    </row>
    <row r="128" spans="1:9">
      <c r="A128" s="16"/>
      <c r="B128" s="16"/>
      <c r="C128" s="16"/>
      <c r="D128" s="47" t="s">
        <v>57</v>
      </c>
      <c r="E128" s="16"/>
      <c r="F128" s="16"/>
      <c r="G128" s="16"/>
      <c r="H128" s="26">
        <f>SUM(H106:H127)</f>
        <v>4682.93</v>
      </c>
      <c r="I128" s="11">
        <f>SUM(I105:I127)</f>
        <v>8400</v>
      </c>
    </row>
    <row r="129" spans="1:9">
      <c r="A129" s="16"/>
      <c r="B129" s="16"/>
      <c r="C129" s="16"/>
      <c r="D129" s="16"/>
      <c r="E129" s="16"/>
      <c r="F129" s="16"/>
      <c r="G129" s="16"/>
      <c r="H129" s="23"/>
      <c r="I129" s="30"/>
    </row>
    <row r="130" spans="1:9">
      <c r="A130" s="16"/>
      <c r="B130" s="16"/>
      <c r="C130" s="36" t="s">
        <v>147</v>
      </c>
      <c r="D130" s="16"/>
      <c r="E130" s="16"/>
      <c r="F130" s="16"/>
      <c r="G130" s="16"/>
      <c r="H130" s="59" t="s">
        <v>169</v>
      </c>
      <c r="I130" s="68" t="s">
        <v>181</v>
      </c>
    </row>
    <row r="131" spans="1:9">
      <c r="A131" s="16"/>
      <c r="B131" s="16">
        <v>3170</v>
      </c>
      <c r="C131" s="16"/>
      <c r="D131" s="16" t="s">
        <v>108</v>
      </c>
      <c r="E131" s="16"/>
      <c r="F131" s="16" t="s">
        <v>109</v>
      </c>
      <c r="G131" s="16" t="s">
        <v>110</v>
      </c>
      <c r="H131" s="25">
        <f>480</f>
        <v>480</v>
      </c>
      <c r="I131" s="41">
        <v>1250</v>
      </c>
    </row>
    <row r="132" spans="1:9">
      <c r="A132" s="16"/>
      <c r="B132" s="16">
        <v>3153</v>
      </c>
      <c r="C132" s="16"/>
      <c r="D132" s="16" t="s">
        <v>111</v>
      </c>
      <c r="E132" s="16"/>
      <c r="F132" s="16" t="s">
        <v>109</v>
      </c>
      <c r="G132" s="16"/>
      <c r="H132" s="27">
        <v>871.84</v>
      </c>
      <c r="I132" s="41">
        <v>2000</v>
      </c>
    </row>
    <row r="133" spans="1:9">
      <c r="A133" s="16"/>
      <c r="B133" s="16">
        <v>3177</v>
      </c>
      <c r="C133" s="16"/>
      <c r="D133" s="16" t="s">
        <v>112</v>
      </c>
      <c r="E133" s="16"/>
      <c r="F133" s="16" t="s">
        <v>109</v>
      </c>
      <c r="G133" s="16"/>
      <c r="H133" s="27"/>
      <c r="I133" s="41">
        <v>1400</v>
      </c>
    </row>
    <row r="134" spans="1:9">
      <c r="A134" s="16"/>
      <c r="B134" s="16">
        <v>3174</v>
      </c>
      <c r="C134" s="16"/>
      <c r="D134" s="16" t="s">
        <v>138</v>
      </c>
      <c r="E134" s="16"/>
      <c r="F134" s="16"/>
      <c r="G134" s="16"/>
      <c r="H134" s="25">
        <f>936</f>
        <v>936</v>
      </c>
      <c r="I134" s="41">
        <v>1300</v>
      </c>
    </row>
    <row r="135" spans="1:9">
      <c r="A135" s="16"/>
      <c r="B135" s="16">
        <v>3175</v>
      </c>
      <c r="C135" s="16"/>
      <c r="D135" s="16" t="s">
        <v>113</v>
      </c>
      <c r="E135" s="16"/>
      <c r="F135" s="16" t="s">
        <v>109</v>
      </c>
      <c r="G135" s="16"/>
      <c r="H135" s="23"/>
      <c r="I135" s="41">
        <v>0</v>
      </c>
    </row>
    <row r="136" spans="1:9">
      <c r="A136" s="16"/>
      <c r="B136" s="16">
        <v>3173</v>
      </c>
      <c r="C136" s="16"/>
      <c r="D136" s="16" t="s">
        <v>114</v>
      </c>
      <c r="E136" s="16"/>
      <c r="F136" s="16" t="s">
        <v>109</v>
      </c>
      <c r="G136" s="16"/>
      <c r="H136" s="25">
        <f>108+1458.58+60.48</f>
        <v>1627.06</v>
      </c>
      <c r="I136" s="41">
        <v>2000</v>
      </c>
    </row>
    <row r="137" spans="1:9">
      <c r="A137" s="16"/>
      <c r="B137" s="16">
        <v>3155</v>
      </c>
      <c r="C137" s="16"/>
      <c r="D137" s="16" t="s">
        <v>115</v>
      </c>
      <c r="E137" s="16"/>
      <c r="F137" s="16" t="s">
        <v>109</v>
      </c>
      <c r="G137" s="16"/>
      <c r="H137" s="25">
        <f>201+5884.98</f>
        <v>6085.98</v>
      </c>
      <c r="I137" s="41">
        <v>5000</v>
      </c>
    </row>
    <row r="138" spans="1:9">
      <c r="A138" s="16"/>
      <c r="B138" s="16"/>
      <c r="C138" s="16"/>
      <c r="D138" s="47" t="s">
        <v>57</v>
      </c>
      <c r="E138" s="16"/>
      <c r="F138" s="16"/>
      <c r="G138" s="16"/>
      <c r="H138" s="28">
        <f>SUM(H131:H137)</f>
        <v>10000.879999999999</v>
      </c>
      <c r="I138" s="7">
        <f>SUM(I131:I137)</f>
        <v>12950</v>
      </c>
    </row>
    <row r="139" spans="1:9">
      <c r="A139" s="16"/>
      <c r="B139" s="16"/>
      <c r="C139" s="16"/>
      <c r="D139" s="47"/>
      <c r="E139" s="16"/>
      <c r="F139" s="16"/>
      <c r="G139" s="16"/>
      <c r="H139" s="28"/>
      <c r="I139" s="7"/>
    </row>
    <row r="140" spans="1:9">
      <c r="A140" s="16"/>
      <c r="B140" s="16"/>
      <c r="C140" s="16"/>
      <c r="D140" s="16"/>
      <c r="E140" s="16"/>
      <c r="F140" s="16"/>
      <c r="G140" s="16"/>
      <c r="H140" s="59" t="s">
        <v>169</v>
      </c>
      <c r="I140" s="69" t="s">
        <v>181</v>
      </c>
    </row>
    <row r="141" spans="1:9">
      <c r="A141" s="16"/>
      <c r="B141" s="16"/>
      <c r="C141" s="36" t="s">
        <v>116</v>
      </c>
      <c r="D141" s="16"/>
      <c r="E141" s="16"/>
      <c r="F141" s="16"/>
      <c r="G141" s="16"/>
      <c r="H141" s="3"/>
      <c r="I141" s="30"/>
    </row>
    <row r="142" spans="1:9">
      <c r="A142" s="16"/>
      <c r="B142" s="16">
        <v>3040</v>
      </c>
      <c r="C142" s="16"/>
      <c r="D142" s="16" t="s">
        <v>30</v>
      </c>
      <c r="E142" s="16"/>
      <c r="F142" s="16"/>
      <c r="G142" s="16" t="s">
        <v>117</v>
      </c>
      <c r="H142" s="25">
        <f>2503.01+35</f>
        <v>2538.0100000000002</v>
      </c>
      <c r="I142" s="25">
        <v>2750</v>
      </c>
    </row>
    <row r="143" spans="1:9">
      <c r="A143" s="16"/>
      <c r="B143" s="16">
        <v>3090</v>
      </c>
      <c r="C143" s="16"/>
      <c r="D143" s="16" t="s">
        <v>150</v>
      </c>
      <c r="E143" s="16"/>
      <c r="F143" s="16" t="s">
        <v>1</v>
      </c>
      <c r="G143" s="16"/>
      <c r="H143" s="25">
        <f>100+2202.92</f>
        <v>2302.92</v>
      </c>
      <c r="I143" s="25">
        <v>2300</v>
      </c>
    </row>
    <row r="144" spans="1:9">
      <c r="A144" s="16"/>
      <c r="B144" s="16">
        <v>3091</v>
      </c>
      <c r="C144" s="16"/>
      <c r="D144" s="16" t="s">
        <v>31</v>
      </c>
      <c r="E144" s="16"/>
      <c r="F144" s="16"/>
      <c r="G144" s="16" t="s">
        <v>118</v>
      </c>
      <c r="H144" s="23"/>
      <c r="I144" s="25">
        <v>200</v>
      </c>
    </row>
    <row r="145" spans="1:10">
      <c r="A145" s="16"/>
      <c r="B145" s="16">
        <v>3008</v>
      </c>
      <c r="C145" s="16"/>
      <c r="D145" s="16" t="s">
        <v>148</v>
      </c>
      <c r="E145" s="16"/>
      <c r="F145" s="16"/>
      <c r="G145" s="16"/>
      <c r="H145" s="25">
        <f>84+5074.41</f>
        <v>5158.41</v>
      </c>
      <c r="I145" s="41">
        <v>7500</v>
      </c>
    </row>
    <row r="146" spans="1:10">
      <c r="A146" s="16"/>
      <c r="B146" s="16">
        <v>3001</v>
      </c>
      <c r="C146" s="16"/>
      <c r="D146" s="16" t="s">
        <v>32</v>
      </c>
      <c r="E146" s="16"/>
      <c r="F146" s="16"/>
      <c r="G146" s="16"/>
      <c r="H146" s="23"/>
      <c r="I146" s="41">
        <v>3000</v>
      </c>
    </row>
    <row r="147" spans="1:10">
      <c r="A147" s="16"/>
      <c r="B147" s="16">
        <v>3000</v>
      </c>
      <c r="C147" s="16"/>
      <c r="D147" s="16" t="s">
        <v>143</v>
      </c>
      <c r="E147" s="16"/>
      <c r="F147" s="16"/>
      <c r="G147" s="16"/>
      <c r="H147" s="25">
        <f>500+3835.82</f>
        <v>4335.82</v>
      </c>
      <c r="I147" s="41">
        <v>3100</v>
      </c>
      <c r="J147" s="3" t="s">
        <v>1</v>
      </c>
    </row>
    <row r="148" spans="1:10">
      <c r="A148" s="16"/>
      <c r="B148" s="16">
        <v>3020</v>
      </c>
      <c r="C148" s="16"/>
      <c r="D148" s="16" t="s">
        <v>33</v>
      </c>
      <c r="E148" s="16"/>
      <c r="F148" s="16"/>
      <c r="G148" s="16"/>
      <c r="H148" s="25">
        <f>685+2933.45+136.89</f>
        <v>3755.3399999999997</v>
      </c>
      <c r="I148" s="41">
        <v>4700</v>
      </c>
    </row>
    <row r="149" spans="1:10">
      <c r="A149" s="16"/>
      <c r="B149" s="16">
        <v>3009</v>
      </c>
      <c r="C149" s="16"/>
      <c r="D149" s="16" t="s">
        <v>149</v>
      </c>
      <c r="E149" s="16"/>
      <c r="F149" s="16"/>
      <c r="G149" s="16"/>
      <c r="H149" s="25">
        <f>665+323.81</f>
        <v>988.81</v>
      </c>
      <c r="I149" s="41">
        <v>2500</v>
      </c>
    </row>
    <row r="150" spans="1:10">
      <c r="A150" s="16"/>
      <c r="B150" s="16">
        <v>3035</v>
      </c>
      <c r="C150" s="16"/>
      <c r="D150" s="16" t="s">
        <v>37</v>
      </c>
      <c r="E150" s="16"/>
      <c r="F150" s="16"/>
      <c r="G150" s="16" t="s">
        <v>119</v>
      </c>
      <c r="H150" s="23"/>
      <c r="I150" s="41">
        <v>250</v>
      </c>
    </row>
    <row r="151" spans="1:10">
      <c r="A151" s="16"/>
      <c r="B151" s="16">
        <v>3006</v>
      </c>
      <c r="C151" s="16"/>
      <c r="D151" s="16" t="s">
        <v>38</v>
      </c>
      <c r="E151" s="16"/>
      <c r="F151" s="16"/>
      <c r="G151" s="16"/>
      <c r="H151" s="25">
        <f>1985.33+36.46</f>
        <v>2021.79</v>
      </c>
      <c r="I151" s="41">
        <v>2100</v>
      </c>
    </row>
    <row r="152" spans="1:10">
      <c r="A152" s="16"/>
      <c r="B152" s="16">
        <v>3092</v>
      </c>
      <c r="C152" s="16"/>
      <c r="D152" s="16" t="s">
        <v>39</v>
      </c>
      <c r="E152" s="16"/>
      <c r="F152" s="16"/>
      <c r="G152" s="16" t="s">
        <v>119</v>
      </c>
      <c r="H152" s="23"/>
      <c r="I152" s="25">
        <v>200</v>
      </c>
    </row>
    <row r="153" spans="1:10">
      <c r="A153" s="16"/>
      <c r="B153" s="16">
        <v>3270</v>
      </c>
      <c r="C153" s="16"/>
      <c r="D153" s="16" t="s">
        <v>42</v>
      </c>
      <c r="E153" s="16"/>
      <c r="F153" s="16"/>
      <c r="G153" s="16"/>
      <c r="H153" s="25">
        <f>1157.56+6667.59+20295.69+120.8+473.88</f>
        <v>28715.519999999997</v>
      </c>
      <c r="I153" s="41">
        <v>32000</v>
      </c>
    </row>
    <row r="154" spans="1:10">
      <c r="A154" s="16"/>
      <c r="B154" s="16"/>
      <c r="C154" s="16"/>
      <c r="D154" s="47" t="s">
        <v>57</v>
      </c>
      <c r="E154" s="16"/>
      <c r="F154" s="16"/>
      <c r="G154" s="16"/>
      <c r="H154" s="26">
        <f>SUM(H142:H153)</f>
        <v>49816.619999999995</v>
      </c>
      <c r="I154" s="11">
        <f>SUM(I142:I153)</f>
        <v>60600</v>
      </c>
    </row>
    <row r="155" spans="1:10" ht="9.75" customHeight="1">
      <c r="A155" s="16"/>
      <c r="B155" s="16"/>
      <c r="C155" s="16"/>
      <c r="D155" s="16"/>
      <c r="E155" s="16"/>
      <c r="F155" s="16"/>
      <c r="G155" s="16"/>
      <c r="H155" s="3"/>
      <c r="I155" s="30"/>
    </row>
    <row r="156" spans="1:10">
      <c r="A156" s="16"/>
      <c r="B156" s="16"/>
      <c r="C156" s="36" t="s">
        <v>120</v>
      </c>
      <c r="D156" s="16"/>
      <c r="E156" s="16"/>
      <c r="F156" s="16"/>
      <c r="G156" s="16"/>
      <c r="H156" s="3"/>
      <c r="I156" s="30"/>
    </row>
    <row r="157" spans="1:10">
      <c r="A157" s="16"/>
      <c r="B157" s="16"/>
      <c r="C157" s="16"/>
      <c r="D157" s="36" t="s">
        <v>121</v>
      </c>
      <c r="E157" s="16"/>
      <c r="F157" s="16"/>
      <c r="G157" s="16"/>
      <c r="H157" s="3"/>
      <c r="I157" s="30"/>
    </row>
    <row r="158" spans="1:10">
      <c r="A158" s="16"/>
      <c r="B158" s="16">
        <v>3030</v>
      </c>
      <c r="C158" s="16"/>
      <c r="D158" s="16" t="s">
        <v>122</v>
      </c>
      <c r="E158" s="16"/>
      <c r="F158" s="16"/>
      <c r="G158" s="16"/>
      <c r="H158" s="25">
        <f>950+1112.7</f>
        <v>2062.6999999999998</v>
      </c>
      <c r="I158" s="25">
        <v>3000</v>
      </c>
    </row>
    <row r="159" spans="1:10">
      <c r="A159" s="16"/>
      <c r="B159" s="16">
        <v>3311</v>
      </c>
      <c r="C159" s="16"/>
      <c r="D159" s="16" t="s">
        <v>123</v>
      </c>
      <c r="E159" s="16"/>
      <c r="F159" s="16" t="s">
        <v>1</v>
      </c>
      <c r="G159" s="16"/>
      <c r="H159" s="23"/>
      <c r="I159" s="41">
        <v>200</v>
      </c>
    </row>
    <row r="160" spans="1:10">
      <c r="A160" s="16"/>
      <c r="B160" s="16">
        <v>3310</v>
      </c>
      <c r="C160" s="16"/>
      <c r="D160" s="16" t="s">
        <v>124</v>
      </c>
      <c r="E160" s="16"/>
      <c r="F160" s="16" t="s">
        <v>1</v>
      </c>
      <c r="G160" s="16"/>
      <c r="H160" s="23"/>
      <c r="I160" s="30"/>
    </row>
    <row r="161" spans="1:9">
      <c r="A161" s="16"/>
      <c r="B161" s="44" t="s">
        <v>125</v>
      </c>
      <c r="C161" s="16"/>
      <c r="D161" s="16" t="s">
        <v>126</v>
      </c>
      <c r="E161" s="16"/>
      <c r="F161" s="16"/>
      <c r="G161" s="16"/>
      <c r="H161" s="23"/>
      <c r="I161" s="25">
        <v>45</v>
      </c>
    </row>
    <row r="162" spans="1:9">
      <c r="A162" s="16"/>
      <c r="B162" s="16">
        <v>6342</v>
      </c>
      <c r="C162" s="16"/>
      <c r="D162" s="16" t="s">
        <v>28</v>
      </c>
      <c r="E162" s="16"/>
      <c r="F162" s="16"/>
      <c r="G162" s="16"/>
      <c r="H162" s="23"/>
      <c r="I162" s="30"/>
    </row>
    <row r="163" spans="1:9">
      <c r="A163" s="16"/>
      <c r="B163" s="16">
        <v>3315</v>
      </c>
      <c r="C163" s="16"/>
      <c r="D163" s="16" t="s">
        <v>127</v>
      </c>
      <c r="E163" s="16"/>
      <c r="F163" s="16"/>
      <c r="G163" s="16"/>
      <c r="H163" s="25">
        <f>673.26</f>
        <v>673.26</v>
      </c>
      <c r="I163" s="25">
        <v>1400</v>
      </c>
    </row>
    <row r="164" spans="1:9">
      <c r="A164" s="16"/>
      <c r="B164" s="16">
        <v>5915</v>
      </c>
      <c r="C164" s="16"/>
      <c r="D164" s="16" t="s">
        <v>116</v>
      </c>
      <c r="E164" s="16"/>
      <c r="F164" s="16"/>
      <c r="G164" s="16"/>
      <c r="H164" s="23"/>
      <c r="I164" s="41">
        <v>500</v>
      </c>
    </row>
    <row r="165" spans="1:9">
      <c r="A165" s="16"/>
      <c r="B165" s="16"/>
      <c r="C165" s="16"/>
      <c r="D165" s="36" t="s">
        <v>19</v>
      </c>
      <c r="E165" s="16"/>
      <c r="F165" s="16"/>
      <c r="G165" s="16"/>
      <c r="H165" s="23"/>
      <c r="I165" s="30"/>
    </row>
    <row r="166" spans="1:9">
      <c r="A166" s="16"/>
      <c r="B166" s="16">
        <v>5920</v>
      </c>
      <c r="C166" s="16"/>
      <c r="D166" s="16" t="s">
        <v>128</v>
      </c>
      <c r="E166" s="16"/>
      <c r="F166" s="16" t="s">
        <v>1</v>
      </c>
      <c r="G166" s="16"/>
      <c r="H166" s="23"/>
      <c r="I166" s="25">
        <v>300</v>
      </c>
    </row>
    <row r="167" spans="1:9">
      <c r="A167" s="16"/>
      <c r="B167" s="16">
        <v>6090</v>
      </c>
      <c r="C167" s="16"/>
      <c r="D167" s="16" t="s">
        <v>129</v>
      </c>
      <c r="E167" s="16"/>
      <c r="F167" s="16" t="s">
        <v>1</v>
      </c>
      <c r="G167" s="16"/>
      <c r="H167" s="25">
        <v>215</v>
      </c>
      <c r="I167" s="41">
        <v>1300</v>
      </c>
    </row>
    <row r="168" spans="1:9">
      <c r="A168" s="16"/>
      <c r="B168" s="16">
        <v>6091</v>
      </c>
      <c r="C168" s="16"/>
      <c r="D168" s="16" t="s">
        <v>130</v>
      </c>
      <c r="E168" s="16"/>
      <c r="F168" s="16"/>
      <c r="G168" s="16"/>
      <c r="H168" s="25">
        <v>1000</v>
      </c>
      <c r="I168" s="41">
        <v>1000</v>
      </c>
    </row>
    <row r="169" spans="1:9">
      <c r="A169" s="16"/>
      <c r="B169" s="16">
        <v>6092</v>
      </c>
      <c r="C169" s="16"/>
      <c r="D169" s="16" t="s">
        <v>131</v>
      </c>
      <c r="E169" s="16"/>
      <c r="F169" s="16"/>
      <c r="G169" s="16"/>
      <c r="H169" s="25">
        <v>285</v>
      </c>
      <c r="I169" s="41">
        <v>950</v>
      </c>
    </row>
    <row r="170" spans="1:9">
      <c r="A170" s="16"/>
      <c r="B170" s="16">
        <v>6002</v>
      </c>
      <c r="C170" s="16"/>
      <c r="D170" s="16" t="s">
        <v>23</v>
      </c>
      <c r="E170" s="16"/>
      <c r="F170" s="16"/>
      <c r="G170" s="16"/>
      <c r="H170" s="23"/>
      <c r="I170" s="30"/>
    </row>
    <row r="171" spans="1:9">
      <c r="A171" s="16"/>
      <c r="B171" s="16">
        <v>6000</v>
      </c>
      <c r="C171" s="16"/>
      <c r="D171" s="16" t="s">
        <v>45</v>
      </c>
      <c r="E171" s="16"/>
      <c r="F171" s="16"/>
      <c r="G171" s="16"/>
      <c r="H171" s="25">
        <f>113.67+108.21+2305+50+489.63</f>
        <v>3066.51</v>
      </c>
      <c r="I171" s="30"/>
    </row>
    <row r="172" spans="1:9">
      <c r="A172" s="16"/>
      <c r="B172" s="44" t="s">
        <v>132</v>
      </c>
      <c r="C172" s="16"/>
      <c r="D172" s="16" t="s">
        <v>133</v>
      </c>
      <c r="E172" s="16"/>
      <c r="F172" s="16"/>
      <c r="G172" s="16"/>
      <c r="H172" s="25">
        <f>4693.75+7+20+37.4+255.25</f>
        <v>5013.3999999999996</v>
      </c>
      <c r="I172" s="30"/>
    </row>
    <row r="173" spans="1:9">
      <c r="A173" s="16"/>
      <c r="B173" s="16"/>
      <c r="C173" s="16"/>
      <c r="D173" s="47" t="s">
        <v>57</v>
      </c>
      <c r="E173" s="16"/>
      <c r="F173" s="16"/>
      <c r="G173" s="16"/>
      <c r="H173" s="29">
        <f>SUM(H158:H172)</f>
        <v>12315.869999999999</v>
      </c>
      <c r="I173" s="11">
        <f>SUM(I158:I172)</f>
        <v>8695</v>
      </c>
    </row>
    <row r="174" spans="1:9" ht="12" customHeight="1">
      <c r="A174" s="16"/>
      <c r="B174" s="16"/>
      <c r="C174" s="16"/>
      <c r="D174" s="16"/>
      <c r="E174" s="16"/>
      <c r="F174" s="16"/>
      <c r="G174" s="16"/>
      <c r="H174" s="23"/>
      <c r="I174" s="30"/>
    </row>
    <row r="175" spans="1:9">
      <c r="A175" s="16"/>
      <c r="B175" s="36" t="s">
        <v>134</v>
      </c>
      <c r="C175" s="16"/>
      <c r="D175" s="16"/>
      <c r="E175" s="16"/>
      <c r="F175" s="16"/>
      <c r="G175" s="16"/>
      <c r="H175" s="11">
        <f>H173+H154+H138+H128+H101+H91+H74+H70</f>
        <v>129085.73999999999</v>
      </c>
      <c r="I175" s="11">
        <f>I173+I154+I138+I128+I101+I91+I74+I70</f>
        <v>155245</v>
      </c>
    </row>
    <row r="176" spans="1:9" ht="12" customHeight="1">
      <c r="A176" s="16"/>
      <c r="B176" s="16"/>
      <c r="C176" s="16"/>
      <c r="D176" s="16"/>
      <c r="E176" s="16"/>
      <c r="F176" s="16"/>
      <c r="G176" s="16"/>
      <c r="H176" s="3"/>
      <c r="I176" s="30"/>
    </row>
    <row r="177" spans="1:11">
      <c r="A177" s="16"/>
      <c r="B177" s="36" t="s">
        <v>184</v>
      </c>
      <c r="C177" s="16"/>
      <c r="D177" s="16"/>
      <c r="E177" s="16"/>
      <c r="F177" s="16"/>
      <c r="G177" s="16"/>
      <c r="H177" s="67">
        <f>H62-H175</f>
        <v>7265.3600000000151</v>
      </c>
      <c r="I177" s="45">
        <f>I62-I175</f>
        <v>0</v>
      </c>
    </row>
    <row r="178" spans="1:11" ht="10.5" customHeight="1">
      <c r="A178" s="16"/>
      <c r="B178" s="16"/>
      <c r="C178" s="16"/>
      <c r="D178" s="16"/>
      <c r="E178" s="16"/>
      <c r="F178" s="16"/>
      <c r="G178" s="16"/>
      <c r="H178" s="3"/>
      <c r="I178" s="30"/>
    </row>
    <row r="179" spans="1:11">
      <c r="A179" s="16"/>
      <c r="B179" s="36"/>
      <c r="C179" s="16"/>
      <c r="D179" s="16"/>
      <c r="E179" s="16"/>
      <c r="F179" s="16"/>
      <c r="G179" s="16"/>
      <c r="H179" s="3"/>
      <c r="I179" s="30"/>
    </row>
    <row r="180" spans="1:11">
      <c r="D180" s="3" t="s">
        <v>1</v>
      </c>
      <c r="I180" s="61" t="s">
        <v>171</v>
      </c>
      <c r="K180" s="60" t="s">
        <v>170</v>
      </c>
    </row>
    <row r="181" spans="1:11">
      <c r="K181" s="60" t="s">
        <v>183</v>
      </c>
    </row>
  </sheetData>
  <mergeCells count="4">
    <mergeCell ref="A1:G1"/>
    <mergeCell ref="A2:G2"/>
    <mergeCell ref="A3:G3"/>
    <mergeCell ref="J5:K5"/>
  </mergeCells>
  <hyperlinks>
    <hyperlink ref="G77" r:id="rId1" display="mailto:$15@27hrsX52%20weeks%20less%20State%20BOM"/>
  </hyperlinks>
  <pageMargins left="0.25" right="0.25" top="0.75" bottom="0.75" header="0.3" footer="0.3"/>
  <pageSetup orientation="portrait" horizontalDpi="4294967293" verticalDpi="4294967293" r:id="rId2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19" sqref="F19"/>
    </sheetView>
  </sheetViews>
  <sheetFormatPr defaultRowHeight="14.4"/>
  <cols>
    <col min="1" max="1" width="45.44140625" customWidth="1"/>
    <col min="2" max="2" width="11.88671875" customWidth="1"/>
    <col min="6" max="6" width="10.109375" bestFit="1" customWidth="1"/>
    <col min="7" max="7" width="9.6640625" bestFit="1" customWidth="1"/>
  </cols>
  <sheetData>
    <row r="1" spans="1:7">
      <c r="A1" t="s">
        <v>153</v>
      </c>
      <c r="B1" t="s">
        <v>154</v>
      </c>
      <c r="D1" t="s">
        <v>155</v>
      </c>
    </row>
    <row r="2" spans="1:7">
      <c r="B2" s="17">
        <v>160983.99</v>
      </c>
      <c r="D2" s="17">
        <v>41593.42</v>
      </c>
      <c r="F2" s="17">
        <f>SUM(B2:D2)</f>
        <v>202577.40999999997</v>
      </c>
      <c r="G2" s="18">
        <v>42825</v>
      </c>
    </row>
    <row r="4" spans="1:7">
      <c r="A4" s="6" t="s">
        <v>5</v>
      </c>
      <c r="B4" s="8">
        <v>-1603.8</v>
      </c>
    </row>
    <row r="5" spans="1:7">
      <c r="A5" s="6" t="s">
        <v>6</v>
      </c>
      <c r="B5" s="8" t="s">
        <v>1</v>
      </c>
    </row>
    <row r="6" spans="1:7">
      <c r="A6" s="6" t="s">
        <v>7</v>
      </c>
      <c r="B6" s="8">
        <v>-272.75</v>
      </c>
    </row>
    <row r="7" spans="1:7">
      <c r="A7" s="6" t="s">
        <v>8</v>
      </c>
      <c r="B7" s="8">
        <v>-3175.01</v>
      </c>
    </row>
    <row r="8" spans="1:7">
      <c r="A8" s="6" t="s">
        <v>9</v>
      </c>
      <c r="B8" s="8">
        <v>-288.06</v>
      </c>
    </row>
    <row r="9" spans="1:7">
      <c r="A9" s="6" t="s">
        <v>10</v>
      </c>
      <c r="B9" s="8" t="s">
        <v>1</v>
      </c>
    </row>
    <row r="10" spans="1:7">
      <c r="A10" s="6" t="s">
        <v>135</v>
      </c>
      <c r="B10" s="8">
        <v>-3649.66</v>
      </c>
    </row>
    <row r="11" spans="1:7">
      <c r="A11" s="6" t="s">
        <v>139</v>
      </c>
      <c r="B11" s="8">
        <v>-378</v>
      </c>
    </row>
    <row r="12" spans="1:7">
      <c r="A12" t="s">
        <v>162</v>
      </c>
      <c r="B12" s="22">
        <v>4386.8100000000004</v>
      </c>
    </row>
    <row r="13" spans="1:7">
      <c r="A13" t="s">
        <v>163</v>
      </c>
      <c r="B13" s="22">
        <f>1719.63-197.08</f>
        <v>1522.5500000000002</v>
      </c>
    </row>
    <row r="14" spans="1:7">
      <c r="B14" s="22"/>
    </row>
    <row r="15" spans="1:7">
      <c r="A15" s="19" t="s">
        <v>156</v>
      </c>
      <c r="B15" s="4">
        <f>-7991.61+221.88</f>
        <v>-7769.73</v>
      </c>
    </row>
    <row r="17" spans="1:2">
      <c r="A17" s="19" t="s">
        <v>157</v>
      </c>
      <c r="B17" s="20">
        <f>SUM(B4:B15)</f>
        <v>-11227.65</v>
      </c>
    </row>
    <row r="19" spans="1:2">
      <c r="A19" t="s">
        <v>165</v>
      </c>
      <c r="B19" s="17">
        <f>B2+B17</f>
        <v>149756.34</v>
      </c>
    </row>
    <row r="20" spans="1:2">
      <c r="A20" t="s">
        <v>158</v>
      </c>
      <c r="B20" s="21">
        <v>-7500</v>
      </c>
    </row>
    <row r="21" spans="1:2">
      <c r="A21" t="s">
        <v>159</v>
      </c>
      <c r="B21" s="21">
        <v>-1300</v>
      </c>
    </row>
    <row r="22" spans="1:2">
      <c r="A22" t="s">
        <v>164</v>
      </c>
      <c r="B22" s="21">
        <v>2000</v>
      </c>
    </row>
    <row r="23" spans="1:2">
      <c r="A23" t="s">
        <v>160</v>
      </c>
      <c r="B23">
        <v>-9000</v>
      </c>
    </row>
    <row r="24" spans="1:2">
      <c r="A24" t="s">
        <v>161</v>
      </c>
      <c r="B24" s="17">
        <f>SUM(B19:B23)</f>
        <v>133956.34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Shafer</dc:creator>
  <cp:lastModifiedBy>Janice.Zolnekoff</cp:lastModifiedBy>
  <cp:lastPrinted>2017-08-21T05:20:04Z</cp:lastPrinted>
  <dcterms:created xsi:type="dcterms:W3CDTF">2016-01-05T23:22:05Z</dcterms:created>
  <dcterms:modified xsi:type="dcterms:W3CDTF">2017-08-22T16:05:44Z</dcterms:modified>
</cp:coreProperties>
</file>